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DM\Desktop\"/>
    </mc:Choice>
  </mc:AlternateContent>
  <xr:revisionPtr revIDLastSave="0" documentId="8_{65517794-3D32-4291-BC3C-74EBBE8454DA}" xr6:coauthVersionLast="36" xr6:coauthVersionMax="36" xr10:uidLastSave="{00000000-0000-0000-0000-000000000000}"/>
  <bookViews>
    <workbookView xWindow="0" yWindow="0" windowWidth="19200" windowHeight="6930" activeTab="5" xr2:uid="{B92F42BE-2B1C-430E-BC8E-F2E55FD83768}"/>
  </bookViews>
  <sheets>
    <sheet name="Gris" sheetId="1" r:id="rId1"/>
    <sheet name="Storboskap" sheetId="2" r:id="rId2"/>
    <sheet name="Kalv" sheetId="3" r:id="rId3"/>
    <sheet name="Får och lamm" sheetId="4" r:id="rId4"/>
    <sheet name="Häst" sheetId="5" r:id="rId5"/>
    <sheet name="Årshistorik" sheetId="6" r:id="rId6"/>
  </sheets>
  <externalReferences>
    <externalReference r:id="rId7"/>
  </externalReferences>
  <definedNames>
    <definedName name="rngAvbugga">[1]Instruktion!$K$9</definedName>
    <definedName name="rngMedgivande">[1]Instruktion!$K$12</definedName>
    <definedName name="rngTidstämpel">[1]Instruktion!#REF!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5" l="1"/>
  <c r="O12" i="5"/>
  <c r="Q12" i="5" s="1"/>
  <c r="N12" i="5"/>
  <c r="M12" i="5"/>
  <c r="L12" i="5"/>
  <c r="K12" i="5"/>
  <c r="P12" i="5" s="1"/>
  <c r="J12" i="5"/>
  <c r="I12" i="5"/>
  <c r="H12" i="5"/>
  <c r="G12" i="5"/>
  <c r="F12" i="5"/>
  <c r="E12" i="5"/>
  <c r="D12" i="5"/>
  <c r="C12" i="5"/>
  <c r="B12" i="5"/>
  <c r="R29" i="4"/>
  <c r="O29" i="4"/>
  <c r="Q29" i="4" s="1"/>
  <c r="N29" i="4"/>
  <c r="M29" i="4"/>
  <c r="L29" i="4"/>
  <c r="K29" i="4"/>
  <c r="J29" i="4"/>
  <c r="I29" i="4"/>
  <c r="H29" i="4"/>
  <c r="G29" i="4"/>
  <c r="F29" i="4"/>
  <c r="P29" i="4" s="1"/>
  <c r="E29" i="4"/>
  <c r="D29" i="4"/>
  <c r="C29" i="4"/>
  <c r="B29" i="4"/>
  <c r="R24" i="3"/>
  <c r="O24" i="3"/>
  <c r="Q24" i="3" s="1"/>
  <c r="N24" i="3"/>
  <c r="M24" i="3"/>
  <c r="L24" i="3"/>
  <c r="K24" i="3"/>
  <c r="P24" i="3" s="1"/>
  <c r="J24" i="3"/>
  <c r="I24" i="3"/>
  <c r="H24" i="3"/>
  <c r="G24" i="3"/>
  <c r="F24" i="3"/>
  <c r="E24" i="3"/>
  <c r="D24" i="3"/>
  <c r="C24" i="3"/>
  <c r="B24" i="3"/>
  <c r="R29" i="2"/>
  <c r="P29" i="2"/>
  <c r="O29" i="2"/>
  <c r="Q29" i="2" s="1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R19" i="1"/>
  <c r="P19" i="1"/>
  <c r="O19" i="1"/>
  <c r="Q19" i="1" s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<sst xmlns="http://schemas.openxmlformats.org/spreadsheetml/2006/main" count="230" uniqueCount="90">
  <si>
    <t>Antal slaktade grisar, uppdaterad kvartal 1 2024</t>
  </si>
  <si>
    <t>Anläggning</t>
  </si>
  <si>
    <t>2019</t>
  </si>
  <si>
    <t>2020</t>
  </si>
  <si>
    <t>2021</t>
  </si>
  <si>
    <t>2022</t>
  </si>
  <si>
    <t>Kvartal 1 2023</t>
  </si>
  <si>
    <t>Kvartal 2 2023</t>
  </si>
  <si>
    <t>Kvartal 3 2023</t>
  </si>
  <si>
    <t>Kvartal 4 2023</t>
  </si>
  <si>
    <t>2023</t>
  </si>
  <si>
    <t>Kvartal 1 2024</t>
  </si>
  <si>
    <t>Kvartal 2 2024</t>
  </si>
  <si>
    <t>Kvartal 3 2024</t>
  </si>
  <si>
    <t>Kvartal 4 2024</t>
  </si>
  <si>
    <t>2024</t>
  </si>
  <si>
    <t>Förändring kv 1 från 2023-2024</t>
  </si>
  <si>
    <t>Förändring kv 1-1 från 2023–2024</t>
  </si>
  <si>
    <t>Procentuell andel 2024*</t>
  </si>
  <si>
    <t>AB Ginsten Slakteri</t>
  </si>
  <si>
    <t>Alviksgårdens Lantbruks AB</t>
  </si>
  <si>
    <t>Brantestads Gårdsslakteri</t>
  </si>
  <si>
    <t>Dahlbergs Slakteri AB</t>
  </si>
  <si>
    <t>HKScan Sweden AB</t>
  </si>
  <si>
    <t>Ickholmens slakteri</t>
  </si>
  <si>
    <t>KLS Ugglarps AB Dalsjöfors</t>
  </si>
  <si>
    <t>KLS Ugglarps AB Kalmar</t>
  </si>
  <si>
    <t>KLS Ugglarps AB, Hörby</t>
  </si>
  <si>
    <t>KLS Ugglarps AB, Trelleborg</t>
  </si>
  <si>
    <t>Lindells Gårdsslakteri AB</t>
  </si>
  <si>
    <t>Lövsta Kött AB</t>
  </si>
  <si>
    <t>Protos AB</t>
  </si>
  <si>
    <t>Ragnar Johanssons Kött o Chark AB</t>
  </si>
  <si>
    <t>Skövde Slakteri</t>
  </si>
  <si>
    <t>Övriga</t>
  </si>
  <si>
    <t>Total svensk slakt</t>
  </si>
  <si>
    <t>Tabellen visar 15 av de 36 slakterier som har slaktat grisar under 2024. Källa: Jordbruksverket</t>
  </si>
  <si>
    <t>Sammanställningen utgår från slakteriernas veckorapportering till Jordbruksverket och visar antal slaktade djur som godkänts som livsmedel</t>
  </si>
  <si>
    <t>Ingående kategorier: Samtliga djur av djurslaget svin inklusive suggor och galtar</t>
  </si>
  <si>
    <t>*Den procentuella andelen av slakten utgår från anläggning, inte företag. Det förekommer att slakteriföretag legoslaktar åt varandra.</t>
  </si>
  <si>
    <t>Antal slaktade storboskap, uppdaterad kvartal 1 2024</t>
  </si>
  <si>
    <t>Almunge Kött</t>
  </si>
  <si>
    <t>Bjursunds Slakteri AB</t>
  </si>
  <si>
    <t>David Karlgrens Slakteri AB</t>
  </si>
  <si>
    <t>Delsbo Slakteri</t>
  </si>
  <si>
    <t>Ello i Lammhult AB</t>
  </si>
  <si>
    <t>Faringe Kött &amp; Slakt AB</t>
  </si>
  <si>
    <t>Jämtlandsgårdens Livsmedel AB</t>
  </si>
  <si>
    <t>Mostorps Gård AB</t>
  </si>
  <si>
    <t>Norrbottengården Slakteri AB</t>
  </si>
  <si>
    <t>Nyhléns Hugosons AB - Ullånger</t>
  </si>
  <si>
    <t>Närkes Slakteri i Gällersta AB</t>
  </si>
  <si>
    <t>PP Slakt AB</t>
  </si>
  <si>
    <t>Roslagens Slakt och Chark AB</t>
  </si>
  <si>
    <t>Skånska Vilt AB</t>
  </si>
  <si>
    <t>Varekils Slakteri AB</t>
  </si>
  <si>
    <t>Tabellen visar 25 av de 58 slakterier som har slaktat storboskap under 2024. Källa: Jordbruksverket</t>
  </si>
  <si>
    <t>Ingående kategorier: Samtliga nötkreatur utom späd-, göd-, och mellankalv</t>
  </si>
  <si>
    <t>Antal slaktade kalvar, uppdaterad kvartal 1 2024</t>
  </si>
  <si>
    <t>─</t>
  </si>
  <si>
    <t>Bassholma slakteri AB</t>
  </si>
  <si>
    <t>Bäsinge Slakteri AB</t>
  </si>
  <si>
    <t>–</t>
  </si>
  <si>
    <t>-</t>
  </si>
  <si>
    <t>Tavastboda gårdsslakteri AB</t>
  </si>
  <si>
    <t>Tabellen visar 20 av de 32 slakterier som har slaktat kalvar under 2024. Källa: Jordbruksverket</t>
  </si>
  <si>
    <t>Ingående kategorier: späd-, göd-, och mellankalv</t>
  </si>
  <si>
    <t>Antal slaktade får och lamm, uppdaterad kvartal 1 2024</t>
  </si>
  <si>
    <t>Appeltorps Lamm o Vilt</t>
  </si>
  <si>
    <t>Ljungskile Kött AB</t>
  </si>
  <si>
    <t>Lundsbols slakteri AB</t>
  </si>
  <si>
    <t>Skara Lammslakteri AB</t>
  </si>
  <si>
    <t>Sörby Slakteri</t>
  </si>
  <si>
    <t>Sörgården Gårdsbutik&amp;slakteri</t>
  </si>
  <si>
    <t>Vikbolands Kött</t>
  </si>
  <si>
    <t>Västerslät</t>
  </si>
  <si>
    <t>Öströö Fårfarm AB</t>
  </si>
  <si>
    <t>Tabellen visar 25 av de 49 slakterier som har slaktat får och lamm under 2024. Källa: Jordbruksverket</t>
  </si>
  <si>
    <t>Ingående kategorier: Samtliga får och lamm</t>
  </si>
  <si>
    <t>Antal slaktade hästar, uppdaterad kvartal 1 2024</t>
  </si>
  <si>
    <t>Tabellen visar 8 av de 10 slakterier som har slaktat hästar under 2024. Källa: Jordbruksverket</t>
  </si>
  <si>
    <t>Ingående kategorier: Samtliga hästar</t>
  </si>
  <si>
    <t>Godkänd slakt, antal djur per år</t>
  </si>
  <si>
    <t>År</t>
  </si>
  <si>
    <t>Svin</t>
  </si>
  <si>
    <t>Storboskap</t>
  </si>
  <si>
    <t>Kalv</t>
  </si>
  <si>
    <t>Får</t>
  </si>
  <si>
    <t>Get</t>
  </si>
  <si>
    <t>Häst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</si>
</sst>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\+0%;\-0%"/>
    <numFmt numFmtId="166" formatCode="#,#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EF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 wrapText="1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0" fillId="0" borderId="0" xfId="0" applyFont="1" applyFill="1"/>
    <xf numFmtId="3" fontId="0" fillId="0" borderId="0" xfId="0" applyNumberFormat="1" applyFont="1" applyFill="1"/>
    <xf numFmtId="3" fontId="3" fillId="3" borderId="0" xfId="0" applyNumberFormat="1" applyFont="1" applyFill="1"/>
    <xf numFmtId="3" fontId="3" fillId="0" borderId="0" xfId="0" applyNumberFormat="1" applyFont="1" applyFill="1"/>
    <xf numFmtId="3" fontId="3" fillId="4" borderId="0" xfId="0" applyNumberFormat="1" applyFont="1" applyFill="1"/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6" fontId="3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3" fontId="0" fillId="0" borderId="0" xfId="0" applyNumberFormat="1"/>
    <xf numFmtId="165" fontId="0" fillId="0" borderId="0" xfId="0" applyNumberFormat="1"/>
    <xf numFmtId="3" fontId="0" fillId="3" borderId="0" xfId="0" applyNumberFormat="1" applyFont="1" applyFill="1"/>
    <xf numFmtId="3" fontId="0" fillId="0" borderId="0" xfId="0" applyNumberFormat="1" applyFont="1"/>
    <xf numFmtId="3" fontId="0" fillId="4" borderId="0" xfId="0" applyNumberFormat="1" applyFont="1" applyFill="1"/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/>
    <xf numFmtId="3" fontId="1" fillId="3" borderId="0" xfId="0" applyNumberFormat="1" applyFont="1" applyFill="1"/>
    <xf numFmtId="3" fontId="1" fillId="0" borderId="0" xfId="0" applyNumberFormat="1" applyFont="1"/>
    <xf numFmtId="3" fontId="1" fillId="4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3" fontId="0" fillId="4" borderId="0" xfId="0" applyNumberFormat="1" applyFill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3" fontId="5" fillId="0" borderId="0" xfId="0" applyNumberFormat="1" applyFont="1" applyFill="1"/>
    <xf numFmtId="3" fontId="5" fillId="3" borderId="0" xfId="0" applyNumberFormat="1" applyFont="1" applyFill="1"/>
    <xf numFmtId="3" fontId="5" fillId="4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/>
  </cellXfs>
  <cellStyles count="2">
    <cellStyle name="Normal" xfId="0" builtinId="0"/>
    <cellStyle name="Procent" xfId="1" builtinId="5"/>
  </cellStyles>
  <dxfs count="20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\+0%;\-0%"/>
      <fill>
        <patternFill patternType="none">
          <fgColor indexed="64"/>
          <bgColor auto="1"/>
        </patternFill>
      </fill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\+0%;\-0%"/>
      <fill>
        <patternFill patternType="none">
          <fgColor indexed="64"/>
          <bgColor auto="1"/>
        </patternFill>
      </fill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\+0%;\-0%"/>
      <fill>
        <patternFill patternType="none">
          <fgColor indexed="64"/>
          <bgColor indexed="65"/>
        </patternFill>
      </fill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\+0%;\-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5" formatCode="\+0%;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\+0%;\-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FEFEFE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>
        <left/>
        <right/>
        <top style="thin">
          <color theme="9" tint="0.59996337778862885"/>
        </top>
        <bottom style="thin">
          <color theme="9" tint="0.59996337778862885"/>
        </bottom>
        <vertical/>
        <horizontal style="thin">
          <color theme="9" tint="0.59996337778862885"/>
        </horizontal>
      </border>
    </dxf>
    <dxf>
      <fill>
        <patternFill>
          <bgColor theme="9" tint="0.79998168889431442"/>
        </patternFill>
      </fill>
      <border diagonalUp="0" diagonalDown="0">
        <left/>
        <right/>
        <top style="thin">
          <color theme="9" tint="0.59996337778862885"/>
        </top>
        <bottom style="thin">
          <color theme="9" tint="0.59996337778862885"/>
        </bottom>
        <vertical/>
        <horizontal style="thin">
          <color theme="9" tint="0.59996337778862885"/>
        </horizontal>
      </border>
    </dxf>
    <dxf>
      <font>
        <b/>
        <color theme="1"/>
      </font>
      <border>
        <right/>
      </border>
    </dxf>
    <dxf>
      <font>
        <b/>
        <color theme="1"/>
      </font>
    </dxf>
    <dxf>
      <font>
        <b/>
        <color theme="1"/>
      </font>
      <border>
        <left/>
        <right/>
        <top style="double">
          <color auto="1"/>
        </top>
        <bottom style="medium">
          <color auto="1"/>
        </bottom>
        <vertical/>
      </border>
    </dxf>
    <dxf>
      <font>
        <b/>
        <color theme="1"/>
      </font>
      <border>
        <left/>
        <right/>
        <top style="medium">
          <color auto="1"/>
        </top>
        <bottom style="medium">
          <color auto="1"/>
        </bottom>
        <vertical/>
      </border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</dxfs>
  <tableStyles count="1" defaultTableStyle="TableStyleMedium2" defaultPivotStyle="PivotStyleLight16">
    <tableStyle name="Kvartalsstatistik" pivot="0" count="9" xr9:uid="{00000000-0011-0000-FFFF-FFFF00000000}">
      <tableStyleElement type="wholeTable" dxfId="199"/>
      <tableStyleElement type="headerRow" dxfId="198"/>
      <tableStyleElement type="totalRow" dxfId="197"/>
      <tableStyleElement type="firstColumn" dxfId="196"/>
      <tableStyleElement type="lastColumn" dxfId="195"/>
      <tableStyleElement type="firstRowStripe" dxfId="194"/>
      <tableStyleElement type="secondRowStripe" dxfId="193"/>
      <tableStyleElement type="firstColumnStripe" dxfId="192"/>
      <tableStyleElement type="secondColumnStripe" dxfId="19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nhet\Kontrollenheter\Kontrollomr&#229;den\K&#246;ttklassning\Planering,%20uppf&#246;ljning%20och%20statistik\Statistik\Kvartalsstatistik\2024\Kvartalsstatistik%202024%20-%20Experi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DAWA-underlag"/>
      <sheetName val="Urval"/>
      <sheetName val="Äldre underlag"/>
      <sheetName val="Gris"/>
      <sheetName val="Storboskap"/>
      <sheetName val="Kalv"/>
      <sheetName val="Får och lamm"/>
      <sheetName val="Get"/>
      <sheetName val="Häst"/>
      <sheetName val="Årshistorik"/>
      <sheetName val="Diagram"/>
    </sheetNames>
    <sheetDataSet>
      <sheetData sheetId="0">
        <row r="12">
          <cell r="K12" t="str">
            <v>Medger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9721C7-9E5C-4D02-9431-073A595E2C1C}" name="Tabell_Gris" displayName="Tabell_Gris" ref="A2:R19" totalsRowCount="1">
  <autoFilter ref="A2:R18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D6F7B90C-32A3-40AF-92E7-B8249D612874}" name="Anläggning" totalsRowLabel="Total svensk slakt" dataDxfId="190"/>
    <tableColumn id="19" xr3:uid="{D1C56EA4-B78C-4260-86BD-B9ED4346E412}" name="2019" totalsRowFunction="sum" dataDxfId="189" totalsRowDxfId="188"/>
    <tableColumn id="20" xr3:uid="{640EA1E9-9931-4968-9CBD-24E8638CF86B}" name="2020" totalsRowFunction="sum" dataDxfId="187" totalsRowDxfId="186"/>
    <tableColumn id="21" xr3:uid="{84876A04-9172-4603-9E6F-E3AB6DCB39FF}" name="2021" totalsRowFunction="sum" dataDxfId="185" totalsRowDxfId="184"/>
    <tableColumn id="22" xr3:uid="{5B084B10-6F91-4E26-91EC-7F5E18250E02}" name="2022" totalsRowFunction="sum" dataDxfId="183" totalsRowDxfId="182"/>
    <tableColumn id="2" xr3:uid="{F9E33A86-9426-461D-8B20-12A5DB737F68}" name="Kvartal 1 2023" totalsRowFunction="sum" dataDxfId="181" totalsRowDxfId="180"/>
    <tableColumn id="3" xr3:uid="{B4B408A3-0967-471C-A599-A27C387B5254}" name="Kvartal 2 2023" totalsRowFunction="sum" dataDxfId="179" totalsRowDxfId="178"/>
    <tableColumn id="4" xr3:uid="{3CE10A7F-0E34-4AD2-8EBF-EB490ACB8B60}" name="Kvartal 3 2023" totalsRowFunction="sum" dataDxfId="177" totalsRowDxfId="176"/>
    <tableColumn id="5" xr3:uid="{E9F26E84-5BCB-4DCE-B12F-2C4BDC4447A7}" name="Kvartal 4 2023" totalsRowFunction="sum" dataDxfId="175" totalsRowDxfId="174"/>
    <tableColumn id="6" xr3:uid="{EDCB622B-C804-48C2-8450-F26037F645AC}" name="2023" totalsRowFunction="sum" dataDxfId="173" totalsRowDxfId="172"/>
    <tableColumn id="7" xr3:uid="{ECA95525-E59F-441E-91CA-72C98C977F55}" name="Kvartal 1 2024" totalsRowFunction="sum" dataDxfId="171" totalsRowDxfId="170"/>
    <tableColumn id="8" xr3:uid="{3423B785-F2A5-4CB7-B71A-B5424C97DAFD}" name="Kvartal 2 2024" totalsRowFunction="sum" dataDxfId="169" totalsRowDxfId="168"/>
    <tableColumn id="9" xr3:uid="{4EB97800-9A16-46C1-83F9-3FCA63D6ECBB}" name="Kvartal 3 2024" totalsRowFunction="sum" dataDxfId="167" totalsRowDxfId="166"/>
    <tableColumn id="10" xr3:uid="{99187A68-6DE8-42D8-9A89-FE658F465BAC}" name="Kvartal 4 2024" totalsRowFunction="sum" dataDxfId="165" totalsRowDxfId="164"/>
    <tableColumn id="11" xr3:uid="{05128A37-B77A-4C0E-9ACB-79D0106BD216}" name="2024" totalsRowFunction="sum" dataDxfId="163" totalsRowDxfId="162"/>
    <tableColumn id="12" xr3:uid="{BC122FE3-5C80-471F-95D5-E50A42D68BEC}" name="Förändring kv 1 från 2023-2024" totalsRowFunction="custom" dataDxfId="161" totalsRowDxfId="160">
      <totalsRowFormula>K19/F19-1</totalsRowFormula>
    </tableColumn>
    <tableColumn id="13" xr3:uid="{5FB7CC6A-D002-4DE5-B820-6D10A00726A9}" name="Förändring kv 1-1 från 2023–2024" totalsRowFunction="custom" dataDxfId="159" totalsRowDxfId="158">
      <totalsRowFormula>O19/SUM(F19:F19)-1</totalsRowFormula>
    </tableColumn>
    <tableColumn id="14" xr3:uid="{5EC83DC5-918C-4261-AFD8-5A3381583973}" name="Procentuell andel 2024*" totalsRowFunction="sum" dataDxfId="157" totalsRowDxfId="156"/>
  </tableColumns>
  <tableStyleInfo name="Kvartalsstatistik" showFirstColumn="1" showLastColumn="0" showRowStripes="1" showColumnStripes="0"/>
  <extLst>
    <ext xmlns:x14="http://schemas.microsoft.com/office/spreadsheetml/2009/9/main" uri="{504A1905-F514-4f6f-8877-14C23A59335A}">
      <x14:table altText="Tabell över antal slaktade grisar" altTextSummary="Tabellen visar de större slakterierna kvartalsvis i år och förra året samt årsvis ytterligare fyra år tillbak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A219E0-002B-4FC7-83E8-C0BFAE461413}" name="Tabell_Storb" displayName="Tabell_Storb" ref="A2:R29" totalsRowCount="1" headerRowDxfId="155" totalsRowDxfId="154">
  <autoFilter ref="A2:R2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75757442-DD7F-4913-8863-354BFF9CE6A3}" name="Anläggning" totalsRowLabel="Total svensk slakt" dataDxfId="153"/>
    <tableColumn id="19" xr3:uid="{C2247B5D-F8CB-4380-8EE4-332567665E30}" name="2019" totalsRowFunction="sum" dataDxfId="152" totalsRowDxfId="151"/>
    <tableColumn id="20" xr3:uid="{EA8365E0-FE67-4E8D-A9B2-D0FF40659615}" name="2020" totalsRowFunction="sum" dataDxfId="150" totalsRowDxfId="149"/>
    <tableColumn id="21" xr3:uid="{9C51281F-13FA-45B1-AB36-2E854737DD3A}" name="2021" totalsRowFunction="sum" dataDxfId="148" totalsRowDxfId="147"/>
    <tableColumn id="22" xr3:uid="{8304668F-34DF-402C-9FF5-0A971033B11E}" name="2022" totalsRowFunction="sum" dataDxfId="146" totalsRowDxfId="145"/>
    <tableColumn id="2" xr3:uid="{65070C66-018E-4E3D-8C70-81AB4D247501}" name="Kvartal 1 2023" totalsRowFunction="sum" dataDxfId="144" totalsRowDxfId="143"/>
    <tableColumn id="3" xr3:uid="{AA3ED6F2-E8AE-40DE-937E-0894512A700E}" name="Kvartal 2 2023" totalsRowFunction="sum" dataDxfId="142" totalsRowDxfId="141"/>
    <tableColumn id="4" xr3:uid="{87ACC926-32BE-4CDF-A8AD-4E783D9BE958}" name="Kvartal 3 2023" totalsRowFunction="sum" dataDxfId="140" totalsRowDxfId="139"/>
    <tableColumn id="5" xr3:uid="{DFD80768-22F5-49C4-8AAC-C57AC31301D5}" name="Kvartal 4 2023" totalsRowFunction="sum" dataDxfId="138" totalsRowDxfId="137"/>
    <tableColumn id="6" xr3:uid="{52264159-BDBB-45BD-AC54-489997292B5A}" name="2023" totalsRowFunction="sum" dataDxfId="136" totalsRowDxfId="135"/>
    <tableColumn id="7" xr3:uid="{E5FA7A29-0C70-43D7-ADE7-C248B4751249}" name="Kvartal 1 2024" totalsRowFunction="sum" dataDxfId="134" totalsRowDxfId="133"/>
    <tableColumn id="8" xr3:uid="{2C0F4158-EC37-46C4-B20A-0EDE21F764FF}" name="Kvartal 2 2024" totalsRowFunction="sum" dataDxfId="132" totalsRowDxfId="131"/>
    <tableColumn id="9" xr3:uid="{F2118657-1CD2-4803-BF65-B4510DE1A36C}" name="Kvartal 3 2024" totalsRowFunction="sum" dataDxfId="130" totalsRowDxfId="129"/>
    <tableColumn id="10" xr3:uid="{961528A2-D014-4436-8D86-0F13A662ED24}" name="Kvartal 4 2024" totalsRowFunction="sum" dataDxfId="128" totalsRowDxfId="127"/>
    <tableColumn id="11" xr3:uid="{BA3953B9-3E8F-4DBC-A17B-86A61B41ED3C}" name="2024" totalsRowFunction="sum" dataDxfId="126" totalsRowDxfId="125"/>
    <tableColumn id="12" xr3:uid="{412925A6-D4FA-4B7F-9B5C-C9C7D3FB3355}" name="Förändring kv 1 från 2023-2024" totalsRowFunction="custom" dataDxfId="124" totalsRowDxfId="123">
      <totalsRowFormula>K29/F29-1</totalsRowFormula>
    </tableColumn>
    <tableColumn id="13" xr3:uid="{C638194E-366D-4A19-A0CE-971A4F364EE7}" name="Förändring kv 1-1 från 2023–2024" totalsRowFunction="custom" dataDxfId="122" totalsRowDxfId="121">
      <totalsRowFormula>O29/SUM(F29:F29)-1</totalsRowFormula>
    </tableColumn>
    <tableColumn id="14" xr3:uid="{DD396113-0520-4880-9562-F890664ECE58}" name="Procentuell andel 2024*" totalsRowFunction="sum" dataDxfId="120" totalsRowDxfId="119"/>
  </tableColumns>
  <tableStyleInfo name="Kvartalsstatistik" showFirstColumn="1" showLastColumn="0" showRowStripes="1" showColumnStripes="0"/>
  <extLst>
    <ext xmlns:x14="http://schemas.microsoft.com/office/spreadsheetml/2009/9/main" uri="{504A1905-F514-4f6f-8877-14C23A59335A}">
      <x14:table altText="Tabell över antalet slaktade storboskap" altTextSummary="Tabellen visar de större slakterierna kvartalsvis i år och förra året samt årsvis ytterligare fyra år tillbak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19E9B3-0F6B-4279-83D5-3348727A6675}" name="Tabell_Kalv" displayName="Tabell_Kalv" ref="A2:R24" totalsRowCount="1" headerRowDxfId="118" dataDxfId="117" totalsRowDxfId="116">
  <autoFilter ref="A2:R23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909F56C7-8257-4150-8E3D-FA2F856D02D6}" name="Anläggning" totalsRowLabel="Total svensk slakt" dataDxfId="115"/>
    <tableColumn id="19" xr3:uid="{56AF2390-A352-4D32-99D3-FAD1EED131F6}" name="2019" totalsRowFunction="sum" dataDxfId="114" totalsRowDxfId="113"/>
    <tableColumn id="20" xr3:uid="{7529983C-77BE-448C-AB09-6F282C6D3443}" name="2020" totalsRowFunction="sum" dataDxfId="112" totalsRowDxfId="111"/>
    <tableColumn id="21" xr3:uid="{DC358102-1A66-4C5F-B8DA-E5102614D740}" name="2021" totalsRowFunction="sum" dataDxfId="110" totalsRowDxfId="109"/>
    <tableColumn id="22" xr3:uid="{8C47EF90-4D34-49D6-B003-424D30F993A8}" name="2022" totalsRowFunction="sum" dataDxfId="108" totalsRowDxfId="107"/>
    <tableColumn id="2" xr3:uid="{6F4206BB-17C5-471B-AFB6-E92994677BC5}" name="Kvartal 1 2023" totalsRowFunction="sum" dataDxfId="106" totalsRowDxfId="105"/>
    <tableColumn id="3" xr3:uid="{D72BBEBC-1682-4C0D-ADEE-A97AD8CFE2E3}" name="Kvartal 2 2023" totalsRowFunction="sum" dataDxfId="104" totalsRowDxfId="103"/>
    <tableColumn id="4" xr3:uid="{F4019B6B-BE77-4B3B-A728-C0EEE839F298}" name="Kvartal 3 2023" totalsRowFunction="sum" dataDxfId="102" totalsRowDxfId="101"/>
    <tableColumn id="5" xr3:uid="{86E12DF6-8767-4870-BF55-C2432F7B1FA9}" name="Kvartal 4 2023" totalsRowFunction="sum" dataDxfId="100" totalsRowDxfId="99"/>
    <tableColumn id="6" xr3:uid="{013B9E5A-0016-40DA-BEE0-EB0490147401}" name="2023" totalsRowFunction="sum" dataDxfId="98" totalsRowDxfId="97"/>
    <tableColumn id="7" xr3:uid="{7740D631-F10C-4591-A0D8-19D35F2E1A00}" name="Kvartal 1 2024" totalsRowFunction="sum" dataDxfId="96" totalsRowDxfId="95"/>
    <tableColumn id="8" xr3:uid="{FFA1833D-443B-4A41-BE6A-49B64E125520}" name="Kvartal 2 2024" totalsRowFunction="sum" dataDxfId="94" totalsRowDxfId="93"/>
    <tableColumn id="9" xr3:uid="{64EB15D2-A54F-4B4D-963B-CB9F3202D3AB}" name="Kvartal 3 2024" totalsRowFunction="sum" dataDxfId="92" totalsRowDxfId="91"/>
    <tableColumn id="10" xr3:uid="{A83CEB76-DBF5-4435-833B-5C236A2B968D}" name="Kvartal 4 2024" totalsRowFunction="sum" dataDxfId="90" totalsRowDxfId="89"/>
    <tableColumn id="11" xr3:uid="{887F821C-4443-4E20-9D32-977CC1E651FF}" name="2024" totalsRowFunction="sum" dataDxfId="88" totalsRowDxfId="87"/>
    <tableColumn id="12" xr3:uid="{6EC7CA80-3FA1-437D-A0F5-6846D892C5A7}" name="Förändring kv 1 från 2023-2024" totalsRowFunction="custom" dataDxfId="86" totalsRowDxfId="85">
      <totalsRowFormula>K24/F24-1</totalsRowFormula>
    </tableColumn>
    <tableColumn id="13" xr3:uid="{78B6309C-5ED1-4158-9470-507A68D961FA}" name="Förändring kv 1-1 från 2023–2024" totalsRowFunction="custom" dataDxfId="84" totalsRowDxfId="83">
      <totalsRowFormula>O24/SUM(F24:F24)-1</totalsRowFormula>
    </tableColumn>
    <tableColumn id="14" xr3:uid="{459E380D-F43C-4635-B7A3-63530E204F91}" name="Procentuell andel 2024*" totalsRowFunction="sum" dataDxfId="82" totalsRowDxfId="81"/>
  </tableColumns>
  <tableStyleInfo name="Kvartalsstatistik" showFirstColumn="1" showLastColumn="0" showRowStripes="1" showColumnStripes="0"/>
  <extLst>
    <ext xmlns:x14="http://schemas.microsoft.com/office/spreadsheetml/2009/9/main" uri="{504A1905-F514-4f6f-8877-14C23A59335A}">
      <x14:table altText="Tabell över antal slaktade kalvar" altTextSummary="Tabellen visar de större slakterierna kvartalsvis i år och förra året samt årsvis ytterligare fyra år tillbak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5A101D4-46A0-402A-99D5-2D395885679F}" name="Tabell_Får" displayName="Tabell_Får" ref="A2:R29" totalsRowCount="1" headerRowDxfId="80" totalsRowDxfId="79">
  <autoFilter ref="A2:R2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4ECFA710-E473-4626-92EF-456269801E60}" name="Anläggning" totalsRowLabel="Total svensk slakt" dataDxfId="78"/>
    <tableColumn id="19" xr3:uid="{15DC137D-67EB-42AA-90EA-08E750299AFF}" name="2019" totalsRowFunction="sum" dataDxfId="77" totalsRowDxfId="76"/>
    <tableColumn id="20" xr3:uid="{D5E8528B-802A-4A73-A7B1-8117600FAD51}" name="2020" totalsRowFunction="sum" dataDxfId="75" totalsRowDxfId="74"/>
    <tableColumn id="21" xr3:uid="{5046CC7E-443E-4725-969C-89D5C1A7C27A}" name="2021" totalsRowFunction="sum" dataDxfId="73" totalsRowDxfId="72"/>
    <tableColumn id="22" xr3:uid="{8F2748E7-82E0-4A01-A477-82BADA1B0480}" name="2022" totalsRowFunction="sum" dataDxfId="71" totalsRowDxfId="70"/>
    <tableColumn id="2" xr3:uid="{1F635440-0F31-4218-969C-9FB3269FB9D9}" name="Kvartal 1 2023" totalsRowFunction="sum" dataDxfId="69" totalsRowDxfId="68"/>
    <tableColumn id="3" xr3:uid="{043D1EFE-B299-48DC-BB76-84C97D099E3D}" name="Kvartal 2 2023" totalsRowFunction="sum" dataDxfId="67" totalsRowDxfId="66"/>
    <tableColumn id="4" xr3:uid="{9B7474DB-479B-4887-B1EC-69DB836B5123}" name="Kvartal 3 2023" totalsRowFunction="sum" dataDxfId="65" totalsRowDxfId="64"/>
    <tableColumn id="5" xr3:uid="{32D87E70-82AB-41C8-868C-84FB651DE9DB}" name="Kvartal 4 2023" totalsRowFunction="sum" dataDxfId="63" totalsRowDxfId="62"/>
    <tableColumn id="6" xr3:uid="{A311F795-D156-4412-B33F-A10C4903DF33}" name="2023" totalsRowFunction="sum" dataDxfId="61" totalsRowDxfId="60"/>
    <tableColumn id="7" xr3:uid="{FC861602-A2AF-41A3-A892-ECCFC7096571}" name="Kvartal 1 2024" totalsRowFunction="sum" dataDxfId="59" totalsRowDxfId="58"/>
    <tableColumn id="8" xr3:uid="{2D939396-3010-4D94-9A30-662F1E9E0260}" name="Kvartal 2 2024" totalsRowFunction="sum" dataDxfId="57" totalsRowDxfId="56"/>
    <tableColumn id="9" xr3:uid="{6D977CCF-961B-4F8A-BDAA-D49892BFE5FC}" name="Kvartal 3 2024" totalsRowFunction="sum" dataDxfId="55" totalsRowDxfId="54"/>
    <tableColumn id="10" xr3:uid="{D1490454-F62C-4834-B69F-CB2E8B096ACC}" name="Kvartal 4 2024" totalsRowFunction="sum" dataDxfId="53" totalsRowDxfId="52"/>
    <tableColumn id="11" xr3:uid="{72FEC55E-A4FD-4371-A6C9-C0877F86E755}" name="2024" totalsRowFunction="sum" dataDxfId="51" totalsRowDxfId="50"/>
    <tableColumn id="12" xr3:uid="{99543EF1-2BF6-4C5D-9E74-E01CD3D21B00}" name="Förändring kv 1 från 2023-2024" totalsRowFunction="custom" dataDxfId="49" totalsRowDxfId="48">
      <totalsRowFormula>K29/F29-1</totalsRowFormula>
    </tableColumn>
    <tableColumn id="13" xr3:uid="{15F61F14-B057-43D0-8F57-E57D4275F0BF}" name="Förändring kv 1-1 från 2023–2024" totalsRowFunction="custom" dataDxfId="47" totalsRowDxfId="46">
      <totalsRowFormula>O29/SUM(F29:F29)-1</totalsRowFormula>
    </tableColumn>
    <tableColumn id="14" xr3:uid="{AC254AB6-0452-4329-9E21-BE9A5B3E3E64}" name="Procentuell andel 2024*" totalsRowFunction="sum" dataDxfId="45" totalsRowDxfId="44"/>
  </tableColumns>
  <tableStyleInfo name="Kvartalsstatistik" showFirstColumn="1" showLastColumn="0" showRowStripes="1" showColumnStripes="0"/>
  <extLst>
    <ext xmlns:x14="http://schemas.microsoft.com/office/spreadsheetml/2009/9/main" uri="{504A1905-F514-4f6f-8877-14C23A59335A}">
      <x14:table altText="Tabell över antal slaktade får och lamm" altTextSummary="Tabellen visar de större slakterierna kvartalsvis i år och förra året samt årsvis ytterligare fyra år tillbak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3658E0-6715-499A-91BB-34A200E1BF00}" name="Tabell_Häst" displayName="Tabell_Häst" ref="A2:R12" totalsRowCount="1" headerRowDxfId="43" totalsRowDxfId="42">
  <autoFilter ref="A2:R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18827CF9-2C1F-419B-85E2-F379878182A0}" name="Anläggning" totalsRowLabel="Total svensk slakt" dataDxfId="41"/>
    <tableColumn id="19" xr3:uid="{14729CD0-F325-465A-9F77-F6AF451D72CE}" name="2019" totalsRowFunction="sum" dataDxfId="40" totalsRowDxfId="39"/>
    <tableColumn id="20" xr3:uid="{04DDD94E-1858-4353-988C-CB1B2E5128EC}" name="2020" totalsRowFunction="sum" dataDxfId="38" totalsRowDxfId="37"/>
    <tableColumn id="21" xr3:uid="{3C41A945-B1F0-42D6-B647-EC334A23CF86}" name="2021" totalsRowFunction="sum" dataDxfId="36" totalsRowDxfId="35"/>
    <tableColumn id="22" xr3:uid="{AD086DA3-A6D1-47EC-B318-AC405B440D3C}" name="2022" totalsRowFunction="sum" dataDxfId="34" totalsRowDxfId="33"/>
    <tableColumn id="2" xr3:uid="{F312027B-3F4D-4B6F-BAFB-E5A5E7901063}" name="Kvartal 1 2023" totalsRowFunction="sum" dataDxfId="32" totalsRowDxfId="31"/>
    <tableColumn id="3" xr3:uid="{AD443299-AF7B-40F5-A66D-B380EF584E42}" name="Kvartal 2 2023" totalsRowFunction="sum" dataDxfId="30" totalsRowDxfId="29"/>
    <tableColumn id="4" xr3:uid="{435B1D3D-73FA-41B8-ADD1-69E7C1CBB6E2}" name="Kvartal 3 2023" totalsRowFunction="sum" dataDxfId="28" totalsRowDxfId="27"/>
    <tableColumn id="5" xr3:uid="{2685542B-B026-4F8E-8BF6-0B48DF1730DE}" name="Kvartal 4 2023" totalsRowFunction="sum" dataDxfId="26" totalsRowDxfId="25"/>
    <tableColumn id="6" xr3:uid="{52BE5C8F-D5FD-4654-93BA-D16F0C6CA191}" name="2023" totalsRowFunction="sum" dataDxfId="24" totalsRowDxfId="23"/>
    <tableColumn id="7" xr3:uid="{B15A0881-03EE-4626-825C-83876C2B12C8}" name="Kvartal 1 2024" totalsRowFunction="sum" dataDxfId="22" totalsRowDxfId="21"/>
    <tableColumn id="8" xr3:uid="{A5A4E774-DF5C-48AC-AE98-7BB31FDCC891}" name="Kvartal 2 2024" totalsRowFunction="sum" dataDxfId="20" totalsRowDxfId="19"/>
    <tableColumn id="9" xr3:uid="{687DC956-3D65-44B9-81AF-F5B5AA785275}" name="Kvartal 3 2024" totalsRowFunction="sum" dataDxfId="18" totalsRowDxfId="17"/>
    <tableColumn id="10" xr3:uid="{66FA1903-3F03-4B67-B968-FEA65A66119B}" name="Kvartal 4 2024" totalsRowFunction="sum" dataDxfId="16" totalsRowDxfId="15"/>
    <tableColumn id="11" xr3:uid="{9ED1CC8E-3B37-445B-89A1-9A7C3843EB45}" name="2024" totalsRowFunction="sum" dataDxfId="14" totalsRowDxfId="13"/>
    <tableColumn id="12" xr3:uid="{F8292B11-ACB5-4D53-BAC6-8268CC41D5DC}" name="Förändring kv 1 från 2023-2024" totalsRowFunction="custom" dataDxfId="12" totalsRowDxfId="11">
      <totalsRowFormula>K12/F12-1</totalsRowFormula>
    </tableColumn>
    <tableColumn id="13" xr3:uid="{6ACDAA49-CB17-4DA9-9872-447C9FD7892A}" name="Förändring kv 1-1 från 2023–2024" totalsRowFunction="custom" dataDxfId="10" totalsRowDxfId="9">
      <totalsRowFormula>O12/SUM(F12:F12)-1</totalsRowFormula>
    </tableColumn>
    <tableColumn id="14" xr3:uid="{8CD0D952-2F04-44C2-B828-367A836EE1A6}" name="Procentuell andel 2024*" totalsRowFunction="sum" dataDxfId="8" totalsRowDxfId="7"/>
  </tableColumns>
  <tableStyleInfo name="Kvartalsstatistik" showFirstColumn="1" showLastColumn="0" showRowStripes="1" showColumnStripes="0"/>
  <extLst>
    <ext xmlns:x14="http://schemas.microsoft.com/office/spreadsheetml/2009/9/main" uri="{504A1905-F514-4f6f-8877-14C23A59335A}">
      <x14:table altText="Tabell över antal slaktade får och lamm" altTextSummary="Tabellen visar de större slakterierna kvartalsvis i år och förra året samt årsvis ytterligare fyra år tillbak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08F7D66-25BA-4B8B-BADE-0B0A4BEEB89D}" name="Tabell_Årshistorik" displayName="Tabell_Årshistorik" ref="A2:G26" totalsRowShown="0">
  <autoFilter ref="A2:G26" xr:uid="{D4AD92F7-E702-42E6-963F-C7916247EA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6">
    <sortCondition descending="1" ref="A5"/>
  </sortState>
  <tableColumns count="7">
    <tableColumn id="1" xr3:uid="{1416FFE3-8AD6-45E8-8A53-EEBF39181DD8}" name="År" dataDxfId="6"/>
    <tableColumn id="2" xr3:uid="{8581125C-6D22-48B5-8C67-A0D86E48A221}" name="Svin" dataDxfId="5"/>
    <tableColumn id="3" xr3:uid="{312C966B-DA5A-424C-BB1E-FFACD44E7B19}" name="Storboskap" dataDxfId="4"/>
    <tableColumn id="4" xr3:uid="{A70FA23A-E8F0-4AB4-B338-E2E9B2A6DAEA}" name="Kalv" dataDxfId="3"/>
    <tableColumn id="5" xr3:uid="{542B70A2-A950-408B-BBE1-F1397D200B6E}" name="Får" dataDxfId="2"/>
    <tableColumn id="6" xr3:uid="{16978F73-5300-4409-855F-8897F13F410E}" name="Get" dataDxfId="1"/>
    <tableColumn id="7" xr3:uid="{FC71DC69-7A58-4200-991A-70D62AB80C2D}" name="Häst" dataDxfId="0"/>
  </tableColumns>
  <tableStyleInfo name="Kvartalsstatistik" showFirstColumn="1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937B-9225-4160-BD6E-686E3406C2A3}">
  <sheetPr codeName="flSvin">
    <pageSetUpPr fitToPage="1"/>
  </sheetPr>
  <dimension ref="A1:S60"/>
  <sheetViews>
    <sheetView topLeftCell="A13" workbookViewId="0">
      <selection activeCell="R1" sqref="R1"/>
    </sheetView>
  </sheetViews>
  <sheetFormatPr defaultColWidth="9.1796875" defaultRowHeight="14.5" x14ac:dyDescent="0.35"/>
  <cols>
    <col min="1" max="1" width="27" customWidth="1"/>
    <col min="2" max="2" width="8.81640625" bestFit="1" customWidth="1"/>
    <col min="3" max="3" width="9.453125" customWidth="1"/>
    <col min="4" max="4" width="9.26953125" customWidth="1"/>
    <col min="5" max="5" width="9.1796875" customWidth="1"/>
    <col min="6" max="9" width="8.26953125" customWidth="1"/>
    <col min="10" max="10" width="8.7265625" customWidth="1"/>
    <col min="11" max="14" width="8.26953125" customWidth="1"/>
    <col min="15" max="15" width="9.1796875" customWidth="1"/>
    <col min="16" max="16" width="10.7265625" customWidth="1"/>
    <col min="17" max="17" width="11.26953125" customWidth="1"/>
    <col min="18" max="18" width="11.54296875" customWidth="1"/>
  </cols>
  <sheetData>
    <row r="1" spans="1:19" ht="92.25" customHeight="1" x14ac:dyDescent="0.35">
      <c r="A1" s="1" t="s">
        <v>0</v>
      </c>
      <c r="J1" s="1"/>
      <c r="R1" s="2"/>
    </row>
    <row r="2" spans="1:19" ht="45" customHeight="1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6" t="s">
        <v>16</v>
      </c>
      <c r="Q2" s="6" t="s">
        <v>17</v>
      </c>
      <c r="R2" s="7" t="s">
        <v>18</v>
      </c>
      <c r="S2" s="8"/>
    </row>
    <row r="3" spans="1:19" ht="15" customHeight="1" x14ac:dyDescent="0.35">
      <c r="A3" s="9" t="s">
        <v>19</v>
      </c>
      <c r="B3" s="10">
        <v>78675</v>
      </c>
      <c r="C3" s="10">
        <v>78626</v>
      </c>
      <c r="D3" s="10">
        <v>75524</v>
      </c>
      <c r="E3" s="10">
        <v>67029</v>
      </c>
      <c r="F3" s="11">
        <v>15497</v>
      </c>
      <c r="G3" s="11">
        <v>12618</v>
      </c>
      <c r="H3" s="11">
        <v>12134</v>
      </c>
      <c r="I3" s="11">
        <v>11987</v>
      </c>
      <c r="J3" s="12">
        <v>52236</v>
      </c>
      <c r="K3" s="13">
        <v>12964</v>
      </c>
      <c r="L3" s="13"/>
      <c r="M3" s="13"/>
      <c r="N3" s="13"/>
      <c r="O3" s="12">
        <v>12964</v>
      </c>
      <c r="P3" s="14">
        <v>-0.16345099051429313</v>
      </c>
      <c r="Q3" s="14">
        <v>-0.16345099051429313</v>
      </c>
      <c r="R3" s="15">
        <v>1.9935904927693131E-2</v>
      </c>
      <c r="S3" s="16"/>
    </row>
    <row r="4" spans="1:19" ht="15" customHeight="1" x14ac:dyDescent="0.35">
      <c r="A4" s="9" t="s">
        <v>20</v>
      </c>
      <c r="B4" s="10">
        <v>45584</v>
      </c>
      <c r="C4" s="10">
        <v>50345</v>
      </c>
      <c r="D4" s="10">
        <v>52910</v>
      </c>
      <c r="E4" s="10">
        <v>51544</v>
      </c>
      <c r="F4" s="11">
        <v>13451</v>
      </c>
      <c r="G4" s="11">
        <v>12570</v>
      </c>
      <c r="H4" s="11">
        <v>12713</v>
      </c>
      <c r="I4" s="11">
        <v>12770</v>
      </c>
      <c r="J4" s="12">
        <v>51504</v>
      </c>
      <c r="K4" s="13">
        <v>13792</v>
      </c>
      <c r="L4" s="13"/>
      <c r="M4" s="13"/>
      <c r="N4" s="13"/>
      <c r="O4" s="12">
        <v>13792</v>
      </c>
      <c r="P4" s="14">
        <v>2.5351274998141493E-2</v>
      </c>
      <c r="Q4" s="14">
        <v>2.5351274998141493E-2</v>
      </c>
      <c r="R4" s="15">
        <v>2.1209194751831507E-2</v>
      </c>
    </row>
    <row r="5" spans="1:19" ht="15" customHeight="1" x14ac:dyDescent="0.35">
      <c r="A5" s="9" t="s">
        <v>21</v>
      </c>
      <c r="B5" s="10">
        <v>2360</v>
      </c>
      <c r="C5" s="10">
        <v>2242</v>
      </c>
      <c r="D5" s="10">
        <v>2179</v>
      </c>
      <c r="E5" s="10">
        <v>2226</v>
      </c>
      <c r="F5" s="11">
        <v>348</v>
      </c>
      <c r="G5" s="11">
        <v>417</v>
      </c>
      <c r="H5" s="11">
        <v>396</v>
      </c>
      <c r="I5" s="11">
        <v>469</v>
      </c>
      <c r="J5" s="12">
        <v>1630</v>
      </c>
      <c r="K5" s="13">
        <v>376</v>
      </c>
      <c r="L5" s="13"/>
      <c r="M5" s="13"/>
      <c r="N5" s="13"/>
      <c r="O5" s="12">
        <v>376</v>
      </c>
      <c r="P5" s="14">
        <v>8.0459770114942541E-2</v>
      </c>
      <c r="Q5" s="14">
        <v>8.0459770114942541E-2</v>
      </c>
      <c r="R5" s="15">
        <v>5.7820890564737868E-4</v>
      </c>
    </row>
    <row r="6" spans="1:19" ht="15" customHeight="1" x14ac:dyDescent="0.35">
      <c r="A6" s="9" t="s">
        <v>22</v>
      </c>
      <c r="B6" s="10">
        <v>201601</v>
      </c>
      <c r="C6" s="10">
        <v>207876</v>
      </c>
      <c r="D6" s="10">
        <v>204679</v>
      </c>
      <c r="E6" s="10">
        <v>210698</v>
      </c>
      <c r="F6" s="11">
        <v>53445</v>
      </c>
      <c r="G6" s="11">
        <v>51794</v>
      </c>
      <c r="H6" s="11">
        <v>51905</v>
      </c>
      <c r="I6" s="11">
        <v>51124</v>
      </c>
      <c r="J6" s="12">
        <v>208268</v>
      </c>
      <c r="K6" s="13">
        <v>54632</v>
      </c>
      <c r="L6" s="13"/>
      <c r="M6" s="13"/>
      <c r="N6" s="13"/>
      <c r="O6" s="12">
        <v>54632</v>
      </c>
      <c r="P6" s="14">
        <v>2.2209748339414359E-2</v>
      </c>
      <c r="Q6" s="14">
        <v>2.2209748339414359E-2</v>
      </c>
      <c r="R6" s="15">
        <v>8.4012523758849975E-2</v>
      </c>
    </row>
    <row r="7" spans="1:19" ht="15" customHeight="1" x14ac:dyDescent="0.35">
      <c r="A7" s="9" t="s">
        <v>23</v>
      </c>
      <c r="B7" s="10">
        <v>708054</v>
      </c>
      <c r="C7" s="10">
        <v>689218</v>
      </c>
      <c r="D7" s="10">
        <v>712620</v>
      </c>
      <c r="E7" s="10">
        <v>730029</v>
      </c>
      <c r="F7" s="11">
        <v>196670</v>
      </c>
      <c r="G7" s="11">
        <v>182204</v>
      </c>
      <c r="H7" s="11">
        <v>183819</v>
      </c>
      <c r="I7" s="11">
        <v>175843</v>
      </c>
      <c r="J7" s="12">
        <v>738536</v>
      </c>
      <c r="K7" s="13">
        <v>174618</v>
      </c>
      <c r="L7" s="13"/>
      <c r="M7" s="13"/>
      <c r="N7" s="13"/>
      <c r="O7" s="12">
        <v>174618</v>
      </c>
      <c r="P7" s="14">
        <v>-0.11212691310316769</v>
      </c>
      <c r="Q7" s="14">
        <v>-0.11212691310316769</v>
      </c>
      <c r="R7" s="15">
        <v>0.26852575182535632</v>
      </c>
    </row>
    <row r="8" spans="1:19" ht="15" customHeight="1" x14ac:dyDescent="0.35">
      <c r="A8" s="9" t="s">
        <v>24</v>
      </c>
      <c r="B8" s="10">
        <v>52434</v>
      </c>
      <c r="C8" s="10">
        <v>47191</v>
      </c>
      <c r="D8" s="10">
        <v>58126</v>
      </c>
      <c r="E8" s="10">
        <v>60953</v>
      </c>
      <c r="F8" s="11">
        <v>14813</v>
      </c>
      <c r="G8" s="11">
        <v>11940</v>
      </c>
      <c r="H8" s="11">
        <v>14694</v>
      </c>
      <c r="I8" s="11">
        <v>15021</v>
      </c>
      <c r="J8" s="12">
        <v>56468</v>
      </c>
      <c r="K8" s="13">
        <v>16031</v>
      </c>
      <c r="L8" s="13"/>
      <c r="M8" s="13"/>
      <c r="N8" s="13"/>
      <c r="O8" s="12">
        <v>16031</v>
      </c>
      <c r="P8" s="14">
        <v>8.2225072571390001E-2</v>
      </c>
      <c r="Q8" s="14">
        <v>8.2225072571390001E-2</v>
      </c>
      <c r="R8" s="15">
        <v>2.4652305761790234E-2</v>
      </c>
    </row>
    <row r="9" spans="1:19" ht="15" customHeight="1" x14ac:dyDescent="0.35">
      <c r="A9" s="9" t="s">
        <v>25</v>
      </c>
      <c r="B9" s="10">
        <v>385756</v>
      </c>
      <c r="C9" s="10">
        <v>381212</v>
      </c>
      <c r="D9" s="10">
        <v>396781</v>
      </c>
      <c r="E9" s="10">
        <v>399539</v>
      </c>
      <c r="F9" s="11">
        <v>100108</v>
      </c>
      <c r="G9" s="11">
        <v>90713</v>
      </c>
      <c r="H9" s="11">
        <v>96140</v>
      </c>
      <c r="I9" s="11">
        <v>95276</v>
      </c>
      <c r="J9" s="12">
        <v>382237</v>
      </c>
      <c r="K9" s="13">
        <v>99597</v>
      </c>
      <c r="L9" s="13"/>
      <c r="M9" s="13"/>
      <c r="N9" s="13"/>
      <c r="O9" s="12">
        <v>99597</v>
      </c>
      <c r="P9" s="14">
        <v>-5.1044871538737935E-3</v>
      </c>
      <c r="Q9" s="14">
        <v>-5.1044871538737935E-3</v>
      </c>
      <c r="R9" s="15">
        <v>0.15315923504192014</v>
      </c>
    </row>
    <row r="10" spans="1:19" ht="15" customHeight="1" x14ac:dyDescent="0.35">
      <c r="A10" s="9" t="s">
        <v>26</v>
      </c>
      <c r="B10" s="10">
        <v>422505</v>
      </c>
      <c r="C10" s="10">
        <v>397509</v>
      </c>
      <c r="D10" s="10">
        <v>393976</v>
      </c>
      <c r="E10" s="10">
        <v>399235</v>
      </c>
      <c r="F10" s="11">
        <v>98340</v>
      </c>
      <c r="G10" s="11">
        <v>83405</v>
      </c>
      <c r="H10" s="11">
        <v>92976</v>
      </c>
      <c r="I10" s="11">
        <v>93665</v>
      </c>
      <c r="J10" s="12">
        <v>368386</v>
      </c>
      <c r="K10" s="13">
        <v>99392</v>
      </c>
      <c r="L10" s="13"/>
      <c r="M10" s="13"/>
      <c r="N10" s="13"/>
      <c r="O10" s="12">
        <v>99392</v>
      </c>
      <c r="P10" s="14">
        <v>1.0697579825096559E-2</v>
      </c>
      <c r="Q10" s="14">
        <v>1.0697579825096559E-2</v>
      </c>
      <c r="R10" s="15">
        <v>0.15284398816517092</v>
      </c>
    </row>
    <row r="11" spans="1:19" ht="15" customHeight="1" x14ac:dyDescent="0.35">
      <c r="A11" s="9" t="s">
        <v>27</v>
      </c>
      <c r="B11" s="10">
        <v>432</v>
      </c>
      <c r="C11" s="10">
        <v>4779</v>
      </c>
      <c r="D11" s="10">
        <v>8621</v>
      </c>
      <c r="E11" s="10">
        <v>11356</v>
      </c>
      <c r="F11" s="11">
        <v>2120</v>
      </c>
      <c r="G11" s="11">
        <v>1759</v>
      </c>
      <c r="H11" s="11">
        <v>1442</v>
      </c>
      <c r="I11" s="11">
        <v>1443</v>
      </c>
      <c r="J11" s="12">
        <v>6764</v>
      </c>
      <c r="K11" s="13">
        <v>1395</v>
      </c>
      <c r="L11" s="13"/>
      <c r="M11" s="13"/>
      <c r="N11" s="13"/>
      <c r="O11" s="12">
        <v>1395</v>
      </c>
      <c r="P11" s="14">
        <v>-0.34198113207547165</v>
      </c>
      <c r="Q11" s="14">
        <v>-0.34198113207547165</v>
      </c>
      <c r="R11" s="15">
        <v>2.1452165515374821E-3</v>
      </c>
    </row>
    <row r="12" spans="1:19" ht="15" customHeight="1" x14ac:dyDescent="0.35">
      <c r="A12" s="9" t="s">
        <v>28</v>
      </c>
      <c r="B12" s="10">
        <v>237062</v>
      </c>
      <c r="C12" s="10">
        <v>249504</v>
      </c>
      <c r="D12" s="10">
        <v>247645</v>
      </c>
      <c r="E12" s="10">
        <v>244006</v>
      </c>
      <c r="F12" s="11">
        <v>61275</v>
      </c>
      <c r="G12" s="11">
        <v>57049</v>
      </c>
      <c r="H12" s="11">
        <v>58968</v>
      </c>
      <c r="I12" s="11">
        <v>55508</v>
      </c>
      <c r="J12" s="12">
        <v>232800</v>
      </c>
      <c r="K12" s="13">
        <v>60933</v>
      </c>
      <c r="L12" s="13"/>
      <c r="M12" s="13"/>
      <c r="N12" s="13"/>
      <c r="O12" s="12">
        <v>60933</v>
      </c>
      <c r="P12" s="14">
        <v>-5.5813953488371704E-3</v>
      </c>
      <c r="Q12" s="14">
        <v>-5.5813953488371704E-3</v>
      </c>
      <c r="R12" s="15">
        <v>9.3702136297371605E-2</v>
      </c>
    </row>
    <row r="13" spans="1:19" ht="15" customHeight="1" x14ac:dyDescent="0.35">
      <c r="A13" s="9" t="s">
        <v>29</v>
      </c>
      <c r="B13" s="10">
        <v>10133</v>
      </c>
      <c r="C13" s="10">
        <v>28220</v>
      </c>
      <c r="D13" s="10">
        <v>35961</v>
      </c>
      <c r="E13" s="10">
        <v>39651</v>
      </c>
      <c r="F13" s="11">
        <v>8748</v>
      </c>
      <c r="G13" s="11">
        <v>8523</v>
      </c>
      <c r="H13" s="11">
        <v>9050</v>
      </c>
      <c r="I13" s="11">
        <v>8825</v>
      </c>
      <c r="J13" s="12">
        <v>35146</v>
      </c>
      <c r="K13" s="13">
        <v>8505</v>
      </c>
      <c r="L13" s="13"/>
      <c r="M13" s="13"/>
      <c r="N13" s="13"/>
      <c r="O13" s="12">
        <v>8505</v>
      </c>
      <c r="P13" s="14">
        <v>-2.777777777777779E-2</v>
      </c>
      <c r="Q13" s="14">
        <v>-2.777777777777779E-2</v>
      </c>
      <c r="R13" s="15">
        <v>1.3078900910986584E-2</v>
      </c>
    </row>
    <row r="14" spans="1:19" ht="15" customHeight="1" x14ac:dyDescent="0.35">
      <c r="A14" s="9" t="s">
        <v>30</v>
      </c>
      <c r="B14" s="10">
        <v>27241</v>
      </c>
      <c r="C14" s="10">
        <v>31306</v>
      </c>
      <c r="D14" s="10">
        <v>32085</v>
      </c>
      <c r="E14" s="10">
        <v>28556</v>
      </c>
      <c r="F14" s="11">
        <v>6172</v>
      </c>
      <c r="G14" s="11">
        <v>6081</v>
      </c>
      <c r="H14" s="11">
        <v>5435</v>
      </c>
      <c r="I14" s="11">
        <v>6083</v>
      </c>
      <c r="J14" s="12">
        <v>23771</v>
      </c>
      <c r="K14" s="13">
        <v>5983</v>
      </c>
      <c r="L14" s="13"/>
      <c r="M14" s="13"/>
      <c r="N14" s="13"/>
      <c r="O14" s="12">
        <v>5983</v>
      </c>
      <c r="P14" s="14">
        <v>-3.0622164614387604E-2</v>
      </c>
      <c r="Q14" s="14">
        <v>-3.0622164614387604E-2</v>
      </c>
      <c r="R14" s="15">
        <v>9.2005954321496448E-3</v>
      </c>
    </row>
    <row r="15" spans="1:19" ht="15" customHeight="1" x14ac:dyDescent="0.35">
      <c r="A15" s="9" t="s">
        <v>31</v>
      </c>
      <c r="B15" s="10">
        <v>67118</v>
      </c>
      <c r="C15" s="10">
        <v>66805</v>
      </c>
      <c r="D15" s="10">
        <v>70437</v>
      </c>
      <c r="E15" s="10">
        <v>68452</v>
      </c>
      <c r="F15" s="11">
        <v>17354</v>
      </c>
      <c r="G15" s="11">
        <v>15672</v>
      </c>
      <c r="H15" s="11">
        <v>15897</v>
      </c>
      <c r="I15" s="11">
        <v>15172</v>
      </c>
      <c r="J15" s="12">
        <v>64095</v>
      </c>
      <c r="K15" s="13">
        <v>16940</v>
      </c>
      <c r="L15" s="13"/>
      <c r="M15" s="13"/>
      <c r="N15" s="13"/>
      <c r="O15" s="12">
        <v>16940</v>
      </c>
      <c r="P15" s="14">
        <v>-2.3856171487841471E-2</v>
      </c>
      <c r="Q15" s="14">
        <v>-2.3856171487841471E-2</v>
      </c>
      <c r="R15" s="15">
        <v>2.6050156546985625E-2</v>
      </c>
    </row>
    <row r="16" spans="1:19" ht="15" customHeight="1" x14ac:dyDescent="0.35">
      <c r="A16" s="9" t="s">
        <v>32</v>
      </c>
      <c r="B16" s="10">
        <v>2614</v>
      </c>
      <c r="C16" s="10">
        <v>2646</v>
      </c>
      <c r="D16" s="10">
        <v>2365</v>
      </c>
      <c r="E16" s="10">
        <v>2289</v>
      </c>
      <c r="F16" s="11">
        <v>554</v>
      </c>
      <c r="G16" s="11">
        <v>674</v>
      </c>
      <c r="H16" s="11">
        <v>670</v>
      </c>
      <c r="I16" s="11">
        <v>799</v>
      </c>
      <c r="J16" s="12">
        <v>2697</v>
      </c>
      <c r="K16" s="13">
        <v>535</v>
      </c>
      <c r="L16" s="13"/>
      <c r="M16" s="13"/>
      <c r="N16" s="13"/>
      <c r="O16" s="12">
        <v>535</v>
      </c>
      <c r="P16" s="14">
        <v>-3.4296028880866469E-2</v>
      </c>
      <c r="Q16" s="14">
        <v>-3.4296028880866469E-2</v>
      </c>
      <c r="R16" s="15">
        <v>8.227174588333713E-4</v>
      </c>
    </row>
    <row r="17" spans="1:18" ht="15" customHeight="1" x14ac:dyDescent="0.35">
      <c r="A17" s="9" t="s">
        <v>33</v>
      </c>
      <c r="B17" s="10">
        <v>287743</v>
      </c>
      <c r="C17" s="10">
        <v>345840</v>
      </c>
      <c r="D17" s="10">
        <v>334384</v>
      </c>
      <c r="E17" s="10">
        <v>340815</v>
      </c>
      <c r="F17" s="11">
        <v>84011</v>
      </c>
      <c r="G17" s="11">
        <v>85566</v>
      </c>
      <c r="H17" s="11">
        <v>84089</v>
      </c>
      <c r="I17" s="11">
        <v>80522</v>
      </c>
      <c r="J17" s="12">
        <v>334188</v>
      </c>
      <c r="K17" s="13">
        <v>83011</v>
      </c>
      <c r="L17" s="13"/>
      <c r="M17" s="13"/>
      <c r="N17" s="13"/>
      <c r="O17" s="12">
        <v>83011</v>
      </c>
      <c r="P17" s="14">
        <v>-1.1903203151968245E-2</v>
      </c>
      <c r="Q17" s="14">
        <v>-1.1903203151968245E-2</v>
      </c>
      <c r="R17" s="15">
        <v>0.12765345602844297</v>
      </c>
    </row>
    <row r="18" spans="1:18" ht="15" customHeight="1" x14ac:dyDescent="0.35">
      <c r="A18" s="17" t="s">
        <v>34</v>
      </c>
      <c r="B18" s="18">
        <v>38877</v>
      </c>
      <c r="C18" s="18">
        <v>34262</v>
      </c>
      <c r="D18" s="18">
        <v>19554</v>
      </c>
      <c r="E18" s="18">
        <v>12550</v>
      </c>
      <c r="F18" s="11">
        <v>1608</v>
      </c>
      <c r="G18" s="11">
        <v>2610</v>
      </c>
      <c r="H18" s="11">
        <v>2271</v>
      </c>
      <c r="I18" s="11">
        <v>3061</v>
      </c>
      <c r="J18" s="12">
        <v>9550</v>
      </c>
      <c r="K18" s="13">
        <v>1580</v>
      </c>
      <c r="L18" s="13"/>
      <c r="M18" s="13"/>
      <c r="N18" s="13"/>
      <c r="O18" s="12">
        <v>1580</v>
      </c>
      <c r="P18" s="14">
        <v>-1.7412935323383061E-2</v>
      </c>
      <c r="Q18" s="14">
        <v>-1.7412935323383061E-2</v>
      </c>
      <c r="R18" s="15">
        <v>2.4297076354331338E-3</v>
      </c>
    </row>
    <row r="19" spans="1:18" ht="15" customHeight="1" x14ac:dyDescent="0.35">
      <c r="A19" t="s">
        <v>35</v>
      </c>
      <c r="B19" s="19">
        <f>SUBTOTAL(109,Tabell_Gris[2019])</f>
        <v>2568189</v>
      </c>
      <c r="C19" s="19">
        <f>SUBTOTAL(109,Tabell_Gris[2020])</f>
        <v>2617581</v>
      </c>
      <c r="D19" s="19">
        <f>SUBTOTAL(109,Tabell_Gris[2021])</f>
        <v>2647847</v>
      </c>
      <c r="E19" s="19">
        <f>SUBTOTAL(109,Tabell_Gris[2022])</f>
        <v>2668928</v>
      </c>
      <c r="F19" s="19">
        <f>SUBTOTAL(109,Tabell_Gris[Kvartal 1 2023])</f>
        <v>674514</v>
      </c>
      <c r="G19" s="19">
        <f>SUBTOTAL(109,Tabell_Gris[Kvartal 2 2023])</f>
        <v>623595</v>
      </c>
      <c r="H19" s="19">
        <f>SUBTOTAL(109,Tabell_Gris[Kvartal 3 2023])</f>
        <v>642599</v>
      </c>
      <c r="I19" s="19">
        <f>SUBTOTAL(109,Tabell_Gris[Kvartal 4 2023])</f>
        <v>627568</v>
      </c>
      <c r="J19" s="19">
        <f>SUBTOTAL(109,Tabell_Gris[2023])</f>
        <v>2568276</v>
      </c>
      <c r="K19" s="19">
        <f>SUBTOTAL(109,Tabell_Gris[Kvartal 1 2024])</f>
        <v>650284</v>
      </c>
      <c r="L19" s="19">
        <f>SUBTOTAL(109,Tabell_Gris[Kvartal 2 2024])</f>
        <v>0</v>
      </c>
      <c r="M19" s="19">
        <f>SUBTOTAL(109,Tabell_Gris[Kvartal 3 2024])</f>
        <v>0</v>
      </c>
      <c r="N19" s="19">
        <f>SUBTOTAL(109,Tabell_Gris[Kvartal 4 2024])</f>
        <v>0</v>
      </c>
      <c r="O19" s="19">
        <f>SUBTOTAL(109,Tabell_Gris[2024])</f>
        <v>650284</v>
      </c>
      <c r="P19" s="20">
        <f>K19/F19-1</f>
        <v>-3.5922160251677493E-2</v>
      </c>
      <c r="Q19" s="20">
        <f>O19/SUM(F19:F19)-1</f>
        <v>-3.5922160251677493E-2</v>
      </c>
      <c r="R19" s="20">
        <f>SUBTOTAL(109,Tabell_Gris[Procentuell andel 2024*])</f>
        <v>0.99999999999999978</v>
      </c>
    </row>
    <row r="20" spans="1:18" ht="15" customHeight="1" x14ac:dyDescent="0.35">
      <c r="A20" t="s">
        <v>36</v>
      </c>
    </row>
    <row r="21" spans="1:18" ht="15" customHeight="1" x14ac:dyDescent="0.35">
      <c r="A21" t="s">
        <v>37</v>
      </c>
    </row>
    <row r="22" spans="1:18" ht="15" customHeight="1" x14ac:dyDescent="0.35">
      <c r="A22" t="s">
        <v>38</v>
      </c>
    </row>
    <row r="23" spans="1:18" ht="15" customHeight="1" x14ac:dyDescent="0.35">
      <c r="A23" t="s">
        <v>39</v>
      </c>
    </row>
    <row r="24" spans="1:18" ht="15" customHeight="1" x14ac:dyDescent="0.35"/>
    <row r="25" spans="1:18" ht="15" customHeight="1" x14ac:dyDescent="0.35"/>
    <row r="26" spans="1:18" ht="15" customHeight="1" x14ac:dyDescent="0.35"/>
    <row r="27" spans="1:18" ht="15" customHeight="1" x14ac:dyDescent="0.35"/>
    <row r="28" spans="1:18" ht="15" customHeight="1" x14ac:dyDescent="0.35"/>
    <row r="29" spans="1:18" ht="15" customHeight="1" x14ac:dyDescent="0.35"/>
    <row r="30" spans="1:18" ht="15" customHeight="1" x14ac:dyDescent="0.35"/>
    <row r="31" spans="1:18" ht="15" customHeight="1" x14ac:dyDescent="0.35"/>
    <row r="32" spans="1:18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</sheetData>
  <pageMargins left="0.70866141732283472" right="0.31496062992125984" top="0.55118110236220474" bottom="0.74803149606299213" header="0.31496062992125984" footer="0.31496062992125984"/>
  <pageSetup paperSize="9" scale="7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57-E6E9-4037-8B4C-42D7086CFD73}">
  <sheetPr codeName="flStorb">
    <pageSetUpPr fitToPage="1"/>
  </sheetPr>
  <dimension ref="A1:R79"/>
  <sheetViews>
    <sheetView topLeftCell="A31" workbookViewId="0">
      <selection activeCell="R1" sqref="R1"/>
    </sheetView>
  </sheetViews>
  <sheetFormatPr defaultColWidth="9.1796875" defaultRowHeight="14.5" x14ac:dyDescent="0.35"/>
  <cols>
    <col min="1" max="1" width="27" customWidth="1"/>
    <col min="2" max="15" width="8.26953125" customWidth="1"/>
    <col min="16" max="16" width="9.26953125" customWidth="1"/>
    <col min="17" max="17" width="10.1796875" customWidth="1"/>
    <col min="18" max="18" width="10" customWidth="1"/>
  </cols>
  <sheetData>
    <row r="1" spans="1:18" ht="92.25" customHeight="1" x14ac:dyDescent="0.35">
      <c r="A1" s="1" t="s">
        <v>40</v>
      </c>
      <c r="C1" s="1"/>
      <c r="J1" s="1"/>
      <c r="R1" s="2"/>
    </row>
    <row r="2" spans="1:18" ht="45" customHeight="1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6" t="s">
        <v>16</v>
      </c>
      <c r="Q2" s="6" t="s">
        <v>17</v>
      </c>
      <c r="R2" s="7" t="s">
        <v>18</v>
      </c>
    </row>
    <row r="3" spans="1:18" ht="15" customHeight="1" x14ac:dyDescent="0.35">
      <c r="A3" s="9" t="s">
        <v>41</v>
      </c>
      <c r="B3" s="10">
        <v>1426</v>
      </c>
      <c r="C3" s="10">
        <v>1442</v>
      </c>
      <c r="D3" s="10">
        <v>1385</v>
      </c>
      <c r="E3" s="10">
        <v>1479</v>
      </c>
      <c r="F3" s="21">
        <v>390</v>
      </c>
      <c r="G3" s="21">
        <v>407</v>
      </c>
      <c r="H3" s="21">
        <v>434</v>
      </c>
      <c r="I3" s="21">
        <v>530</v>
      </c>
      <c r="J3" s="22">
        <v>1761</v>
      </c>
      <c r="K3" s="23">
        <v>385</v>
      </c>
      <c r="L3" s="23"/>
      <c r="M3" s="23"/>
      <c r="N3" s="23"/>
      <c r="O3" s="10">
        <v>385</v>
      </c>
      <c r="P3" s="24">
        <v>-1.2820512820512775E-2</v>
      </c>
      <c r="Q3" s="24">
        <v>-1.2820512820512775E-2</v>
      </c>
      <c r="R3" s="25">
        <v>3.7470680409160363E-3</v>
      </c>
    </row>
    <row r="4" spans="1:18" ht="15" customHeight="1" x14ac:dyDescent="0.35">
      <c r="A4" s="9" t="s">
        <v>42</v>
      </c>
      <c r="B4" s="10">
        <v>1576</v>
      </c>
      <c r="C4" s="10">
        <v>1755</v>
      </c>
      <c r="D4" s="10">
        <v>1922</v>
      </c>
      <c r="E4" s="10">
        <v>2108</v>
      </c>
      <c r="F4" s="21">
        <v>491</v>
      </c>
      <c r="G4" s="21">
        <v>584</v>
      </c>
      <c r="H4" s="21">
        <v>569</v>
      </c>
      <c r="I4" s="21">
        <v>454</v>
      </c>
      <c r="J4" s="22">
        <v>2098</v>
      </c>
      <c r="K4" s="23">
        <v>471</v>
      </c>
      <c r="L4" s="23"/>
      <c r="M4" s="23"/>
      <c r="N4" s="23"/>
      <c r="O4" s="10">
        <v>471</v>
      </c>
      <c r="P4" s="24">
        <v>-4.0733197556008127E-2</v>
      </c>
      <c r="Q4" s="24">
        <v>-4.0733197556008127E-2</v>
      </c>
      <c r="R4" s="25">
        <v>4.5840754474583204E-3</v>
      </c>
    </row>
    <row r="5" spans="1:18" ht="15" customHeight="1" x14ac:dyDescent="0.35">
      <c r="A5" s="9" t="s">
        <v>22</v>
      </c>
      <c r="B5" s="10">
        <v>16870</v>
      </c>
      <c r="C5" s="10">
        <v>17416</v>
      </c>
      <c r="D5" s="10">
        <v>16340</v>
      </c>
      <c r="E5" s="10">
        <v>16534</v>
      </c>
      <c r="F5" s="21">
        <v>3986</v>
      </c>
      <c r="G5" s="21">
        <v>3969</v>
      </c>
      <c r="H5" s="21">
        <v>5114</v>
      </c>
      <c r="I5" s="21">
        <v>6108</v>
      </c>
      <c r="J5" s="22">
        <v>19177</v>
      </c>
      <c r="K5" s="23">
        <v>4436</v>
      </c>
      <c r="L5" s="23"/>
      <c r="M5" s="23"/>
      <c r="N5" s="23"/>
      <c r="O5" s="10">
        <v>4436</v>
      </c>
      <c r="P5" s="24">
        <v>0.1128951329653789</v>
      </c>
      <c r="Q5" s="24">
        <v>0.1128951329653789</v>
      </c>
      <c r="R5" s="25">
        <v>4.3174009946762439E-2</v>
      </c>
    </row>
    <row r="6" spans="1:18" ht="15" customHeight="1" x14ac:dyDescent="0.35">
      <c r="A6" s="9" t="s">
        <v>43</v>
      </c>
      <c r="B6" s="10">
        <v>1831</v>
      </c>
      <c r="C6" s="10">
        <v>1351</v>
      </c>
      <c r="D6" s="10">
        <v>832</v>
      </c>
      <c r="E6" s="10">
        <v>768</v>
      </c>
      <c r="F6" s="21">
        <v>185</v>
      </c>
      <c r="G6" s="21">
        <v>179</v>
      </c>
      <c r="H6" s="21">
        <v>192</v>
      </c>
      <c r="I6" s="21">
        <v>252</v>
      </c>
      <c r="J6" s="22">
        <v>808</v>
      </c>
      <c r="K6" s="23">
        <v>162</v>
      </c>
      <c r="L6" s="23"/>
      <c r="M6" s="23"/>
      <c r="N6" s="23"/>
      <c r="O6" s="10">
        <v>162</v>
      </c>
      <c r="P6" s="24">
        <v>-0.12432432432432428</v>
      </c>
      <c r="Q6" s="24">
        <v>-0.12432432432432428</v>
      </c>
      <c r="R6" s="25">
        <v>1.5766883704633713E-3</v>
      </c>
    </row>
    <row r="7" spans="1:18" ht="15" customHeight="1" x14ac:dyDescent="0.35">
      <c r="A7" s="9" t="s">
        <v>44</v>
      </c>
      <c r="B7" s="10">
        <v>7278</v>
      </c>
      <c r="C7" s="10">
        <v>9019</v>
      </c>
      <c r="D7" s="10">
        <v>10001</v>
      </c>
      <c r="E7" s="10">
        <v>9636</v>
      </c>
      <c r="F7" s="21">
        <v>2868</v>
      </c>
      <c r="G7" s="21">
        <v>2828</v>
      </c>
      <c r="H7" s="21">
        <v>3188</v>
      </c>
      <c r="I7" s="21">
        <v>3997</v>
      </c>
      <c r="J7" s="22">
        <v>12881</v>
      </c>
      <c r="K7" s="23">
        <v>3317</v>
      </c>
      <c r="L7" s="23"/>
      <c r="M7" s="23"/>
      <c r="N7" s="23"/>
      <c r="O7" s="10">
        <v>3317</v>
      </c>
      <c r="P7" s="24">
        <v>0.1565550906555091</v>
      </c>
      <c r="Q7" s="24">
        <v>0.1565550906555091</v>
      </c>
      <c r="R7" s="25">
        <v>3.2283181017450632E-2</v>
      </c>
    </row>
    <row r="8" spans="1:18" ht="15" customHeight="1" x14ac:dyDescent="0.35">
      <c r="A8" s="9" t="s">
        <v>45</v>
      </c>
      <c r="B8" s="10">
        <v>10224</v>
      </c>
      <c r="C8" s="10">
        <v>14795</v>
      </c>
      <c r="D8" s="10">
        <v>14349</v>
      </c>
      <c r="E8" s="10">
        <v>14578</v>
      </c>
      <c r="F8" s="21">
        <v>3642</v>
      </c>
      <c r="G8" s="21">
        <v>3269</v>
      </c>
      <c r="H8" s="21">
        <v>3502</v>
      </c>
      <c r="I8" s="21">
        <v>4160</v>
      </c>
      <c r="J8" s="22">
        <v>14573</v>
      </c>
      <c r="K8" s="23">
        <v>3236</v>
      </c>
      <c r="L8" s="23"/>
      <c r="M8" s="23"/>
      <c r="N8" s="23"/>
      <c r="O8" s="10">
        <v>3236</v>
      </c>
      <c r="P8" s="24">
        <v>-0.11147721032399782</v>
      </c>
      <c r="Q8" s="24">
        <v>-0.11147721032399782</v>
      </c>
      <c r="R8" s="25">
        <v>3.1494836832218945E-2</v>
      </c>
    </row>
    <row r="9" spans="1:18" ht="15" customHeight="1" x14ac:dyDescent="0.35">
      <c r="A9" s="9" t="s">
        <v>46</v>
      </c>
      <c r="B9" s="10">
        <v>2949</v>
      </c>
      <c r="C9" s="10">
        <v>3479</v>
      </c>
      <c r="D9" s="10">
        <v>3488</v>
      </c>
      <c r="E9" s="10">
        <v>3566</v>
      </c>
      <c r="F9" s="21">
        <v>836</v>
      </c>
      <c r="G9" s="21">
        <v>861</v>
      </c>
      <c r="H9" s="21">
        <v>699</v>
      </c>
      <c r="I9" s="21">
        <v>871</v>
      </c>
      <c r="J9" s="22">
        <v>3267</v>
      </c>
      <c r="K9" s="23">
        <v>816</v>
      </c>
      <c r="L9" s="23"/>
      <c r="M9" s="23"/>
      <c r="N9" s="23"/>
      <c r="O9" s="10">
        <v>816</v>
      </c>
      <c r="P9" s="24">
        <v>-2.3923444976076569E-2</v>
      </c>
      <c r="Q9" s="24">
        <v>-2.3923444976076569E-2</v>
      </c>
      <c r="R9" s="25">
        <v>7.9418377178895726E-3</v>
      </c>
    </row>
    <row r="10" spans="1:18" ht="15" customHeight="1" x14ac:dyDescent="0.35">
      <c r="A10" s="9" t="s">
        <v>23</v>
      </c>
      <c r="B10" s="10">
        <v>76265</v>
      </c>
      <c r="C10" s="10">
        <v>103198</v>
      </c>
      <c r="D10" s="10">
        <v>101310</v>
      </c>
      <c r="E10" s="10">
        <v>100650</v>
      </c>
      <c r="F10" s="21">
        <v>24811</v>
      </c>
      <c r="G10" s="21">
        <v>23944</v>
      </c>
      <c r="H10" s="21">
        <v>24718</v>
      </c>
      <c r="I10" s="21">
        <v>23854</v>
      </c>
      <c r="J10" s="22">
        <v>97327</v>
      </c>
      <c r="K10" s="23">
        <v>26179</v>
      </c>
      <c r="L10" s="23"/>
      <c r="M10" s="23"/>
      <c r="N10" s="23"/>
      <c r="O10" s="10">
        <v>26179</v>
      </c>
      <c r="P10" s="24">
        <v>5.513683446858253E-2</v>
      </c>
      <c r="Q10" s="24">
        <v>5.513683446858253E-2</v>
      </c>
      <c r="R10" s="25">
        <v>0.25479089413802836</v>
      </c>
    </row>
    <row r="11" spans="1:18" ht="15" customHeight="1" x14ac:dyDescent="0.35">
      <c r="A11" s="9" t="s">
        <v>24</v>
      </c>
      <c r="B11" s="10">
        <v>12558</v>
      </c>
      <c r="C11" s="10">
        <v>7883</v>
      </c>
      <c r="D11" s="10">
        <v>5917</v>
      </c>
      <c r="E11" s="10">
        <v>7466</v>
      </c>
      <c r="F11" s="21">
        <v>2235</v>
      </c>
      <c r="G11" s="21">
        <v>2225</v>
      </c>
      <c r="H11" s="21">
        <v>2653</v>
      </c>
      <c r="I11" s="21">
        <v>2893</v>
      </c>
      <c r="J11" s="22">
        <v>10006</v>
      </c>
      <c r="K11" s="23">
        <v>2811</v>
      </c>
      <c r="L11" s="23"/>
      <c r="M11" s="23"/>
      <c r="N11" s="23"/>
      <c r="O11" s="10">
        <v>2811</v>
      </c>
      <c r="P11" s="24">
        <v>0.25771812080536916</v>
      </c>
      <c r="Q11" s="24">
        <v>0.25771812080536916</v>
      </c>
      <c r="R11" s="25">
        <v>2.7358463020818125E-2</v>
      </c>
    </row>
    <row r="12" spans="1:18" ht="15" customHeight="1" x14ac:dyDescent="0.35">
      <c r="A12" s="9" t="s">
        <v>47</v>
      </c>
      <c r="B12" s="10">
        <v>3907</v>
      </c>
      <c r="C12" s="10">
        <v>5242</v>
      </c>
      <c r="D12" s="10">
        <v>6125</v>
      </c>
      <c r="E12" s="10">
        <v>6078</v>
      </c>
      <c r="F12" s="21">
        <v>1443</v>
      </c>
      <c r="G12" s="21">
        <v>1342</v>
      </c>
      <c r="H12" s="21">
        <v>1375</v>
      </c>
      <c r="I12" s="21">
        <v>1833</v>
      </c>
      <c r="J12" s="22">
        <v>5993</v>
      </c>
      <c r="K12" s="23">
        <v>1779</v>
      </c>
      <c r="L12" s="23"/>
      <c r="M12" s="23"/>
      <c r="N12" s="23"/>
      <c r="O12" s="10">
        <v>1779</v>
      </c>
      <c r="P12" s="24">
        <v>0.23284823284823286</v>
      </c>
      <c r="Q12" s="24">
        <v>0.23284823284823286</v>
      </c>
      <c r="R12" s="25">
        <v>1.7314374142310726E-2</v>
      </c>
    </row>
    <row r="13" spans="1:18" ht="15" customHeight="1" x14ac:dyDescent="0.35">
      <c r="A13" s="9" t="s">
        <v>25</v>
      </c>
      <c r="B13" s="10">
        <v>32111</v>
      </c>
      <c r="C13" s="10">
        <v>32514</v>
      </c>
      <c r="D13" s="10">
        <v>34764</v>
      </c>
      <c r="E13" s="10">
        <v>34837</v>
      </c>
      <c r="F13" s="21">
        <v>8774</v>
      </c>
      <c r="G13" s="21">
        <v>8471</v>
      </c>
      <c r="H13" s="21">
        <v>9318</v>
      </c>
      <c r="I13" s="21">
        <v>8980</v>
      </c>
      <c r="J13" s="22">
        <v>35543</v>
      </c>
      <c r="K13" s="23">
        <v>8661</v>
      </c>
      <c r="L13" s="23"/>
      <c r="M13" s="23"/>
      <c r="N13" s="23"/>
      <c r="O13" s="10">
        <v>8661</v>
      </c>
      <c r="P13" s="24">
        <v>-1.2878960565306574E-2</v>
      </c>
      <c r="Q13" s="24">
        <v>-1.2878960565306574E-2</v>
      </c>
      <c r="R13" s="25">
        <v>8.4294431954217638E-2</v>
      </c>
    </row>
    <row r="14" spans="1:18" ht="15" customHeight="1" x14ac:dyDescent="0.35">
      <c r="A14" s="9" t="s">
        <v>26</v>
      </c>
      <c r="B14" s="10">
        <v>60378</v>
      </c>
      <c r="C14" s="10">
        <v>57394</v>
      </c>
      <c r="D14" s="10">
        <v>51303</v>
      </c>
      <c r="E14" s="10">
        <v>51489</v>
      </c>
      <c r="F14" s="21">
        <v>12514</v>
      </c>
      <c r="G14" s="21">
        <v>12866</v>
      </c>
      <c r="H14" s="21">
        <v>14502</v>
      </c>
      <c r="I14" s="21">
        <v>14796</v>
      </c>
      <c r="J14" s="22">
        <v>54678</v>
      </c>
      <c r="K14" s="23">
        <v>13598</v>
      </c>
      <c r="L14" s="23"/>
      <c r="M14" s="23"/>
      <c r="N14" s="23"/>
      <c r="O14" s="10">
        <v>13598</v>
      </c>
      <c r="P14" s="24">
        <v>8.6622982259868975E-2</v>
      </c>
      <c r="Q14" s="24">
        <v>8.6622982259868975E-2</v>
      </c>
      <c r="R14" s="25">
        <v>0.13234449667630199</v>
      </c>
    </row>
    <row r="15" spans="1:18" ht="15" customHeight="1" x14ac:dyDescent="0.35">
      <c r="A15" s="9" t="s">
        <v>27</v>
      </c>
      <c r="B15" s="10">
        <v>71214</v>
      </c>
      <c r="C15" s="10">
        <v>50476</v>
      </c>
      <c r="D15" s="10">
        <v>43519</v>
      </c>
      <c r="E15" s="10">
        <v>45187</v>
      </c>
      <c r="F15" s="21">
        <v>12024</v>
      </c>
      <c r="G15" s="21">
        <v>11193</v>
      </c>
      <c r="H15" s="21">
        <v>13714</v>
      </c>
      <c r="I15" s="21">
        <v>13025</v>
      </c>
      <c r="J15" s="22">
        <v>49956</v>
      </c>
      <c r="K15" s="23">
        <v>12063</v>
      </c>
      <c r="L15" s="23"/>
      <c r="M15" s="23"/>
      <c r="N15" s="23"/>
      <c r="O15" s="10">
        <v>12063</v>
      </c>
      <c r="P15" s="24">
        <v>3.2435129740517876E-3</v>
      </c>
      <c r="Q15" s="24">
        <v>3.2435129740517876E-3</v>
      </c>
      <c r="R15" s="25">
        <v>0.11740488773394844</v>
      </c>
    </row>
    <row r="16" spans="1:18" ht="15" customHeight="1" x14ac:dyDescent="0.35">
      <c r="A16" s="9" t="s">
        <v>30</v>
      </c>
      <c r="B16" s="10">
        <v>5172</v>
      </c>
      <c r="C16" s="10">
        <v>5467</v>
      </c>
      <c r="D16" s="10">
        <v>5501</v>
      </c>
      <c r="E16" s="10">
        <v>5324</v>
      </c>
      <c r="F16" s="21">
        <v>1241</v>
      </c>
      <c r="G16" s="21">
        <v>1545</v>
      </c>
      <c r="H16" s="21">
        <v>1498</v>
      </c>
      <c r="I16" s="21">
        <v>1621</v>
      </c>
      <c r="J16" s="22">
        <v>5905</v>
      </c>
      <c r="K16" s="23">
        <v>1681</v>
      </c>
      <c r="L16" s="23"/>
      <c r="M16" s="23"/>
      <c r="N16" s="23"/>
      <c r="O16" s="10">
        <v>1681</v>
      </c>
      <c r="P16" s="24">
        <v>0.35455278001611612</v>
      </c>
      <c r="Q16" s="24">
        <v>0.35455278001611612</v>
      </c>
      <c r="R16" s="25">
        <v>1.6360575004623006E-2</v>
      </c>
    </row>
    <row r="17" spans="1:18" ht="15" customHeight="1" x14ac:dyDescent="0.35">
      <c r="A17" s="9" t="s">
        <v>48</v>
      </c>
      <c r="B17" s="10">
        <v>3400</v>
      </c>
      <c r="C17" s="10">
        <v>3376</v>
      </c>
      <c r="D17" s="10">
        <v>2735</v>
      </c>
      <c r="E17" s="10">
        <v>2690</v>
      </c>
      <c r="F17" s="21">
        <v>693</v>
      </c>
      <c r="G17" s="21">
        <v>634</v>
      </c>
      <c r="H17" s="21">
        <v>689</v>
      </c>
      <c r="I17" s="21">
        <v>644</v>
      </c>
      <c r="J17" s="22">
        <v>2660</v>
      </c>
      <c r="K17" s="23">
        <v>688</v>
      </c>
      <c r="L17" s="23"/>
      <c r="M17" s="23"/>
      <c r="N17" s="23"/>
      <c r="O17" s="10">
        <v>688</v>
      </c>
      <c r="P17" s="24">
        <v>-7.2150072150072297E-3</v>
      </c>
      <c r="Q17" s="24">
        <v>-7.2150072150072297E-3</v>
      </c>
      <c r="R17" s="25">
        <v>6.6960592523382682E-3</v>
      </c>
    </row>
    <row r="18" spans="1:18" ht="15" customHeight="1" x14ac:dyDescent="0.35">
      <c r="A18" s="9" t="s">
        <v>49</v>
      </c>
      <c r="B18" s="10">
        <v>6949</v>
      </c>
      <c r="C18" s="10">
        <v>7398</v>
      </c>
      <c r="D18" s="10">
        <v>7598</v>
      </c>
      <c r="E18" s="10">
        <v>7371</v>
      </c>
      <c r="F18" s="21">
        <v>1752</v>
      </c>
      <c r="G18" s="21">
        <v>1447</v>
      </c>
      <c r="H18" s="21">
        <v>1695</v>
      </c>
      <c r="I18" s="21">
        <v>1914</v>
      </c>
      <c r="J18" s="22">
        <v>6808</v>
      </c>
      <c r="K18" s="23">
        <v>1793</v>
      </c>
      <c r="L18" s="23"/>
      <c r="M18" s="23"/>
      <c r="N18" s="23"/>
      <c r="O18" s="10">
        <v>1793</v>
      </c>
      <c r="P18" s="24">
        <v>2.340182648401834E-2</v>
      </c>
      <c r="Q18" s="24">
        <v>2.340182648401834E-2</v>
      </c>
      <c r="R18" s="25">
        <v>1.7450631161980399E-2</v>
      </c>
    </row>
    <row r="19" spans="1:18" ht="15" customHeight="1" x14ac:dyDescent="0.35">
      <c r="A19" s="9" t="s">
        <v>50</v>
      </c>
      <c r="B19" s="10">
        <v>6356</v>
      </c>
      <c r="C19" s="10">
        <v>7178</v>
      </c>
      <c r="D19" s="10">
        <v>6761</v>
      </c>
      <c r="E19" s="10">
        <v>6898</v>
      </c>
      <c r="F19" s="21">
        <v>1674</v>
      </c>
      <c r="G19" s="21">
        <v>1555</v>
      </c>
      <c r="H19" s="21">
        <v>1803</v>
      </c>
      <c r="I19" s="21">
        <v>1899</v>
      </c>
      <c r="J19" s="22">
        <v>6931</v>
      </c>
      <c r="K19" s="23">
        <v>1786</v>
      </c>
      <c r="L19" s="23"/>
      <c r="M19" s="23"/>
      <c r="N19" s="23"/>
      <c r="O19" s="10">
        <v>1786</v>
      </c>
      <c r="P19" s="24">
        <v>6.6905615292712106E-2</v>
      </c>
      <c r="Q19" s="24">
        <v>6.6905615292712106E-2</v>
      </c>
      <c r="R19" s="25">
        <v>1.7382502652145561E-2</v>
      </c>
    </row>
    <row r="20" spans="1:18" ht="15" customHeight="1" x14ac:dyDescent="0.35">
      <c r="A20" s="9" t="s">
        <v>51</v>
      </c>
      <c r="B20" s="10">
        <v>11077</v>
      </c>
      <c r="C20" s="10">
        <v>10916</v>
      </c>
      <c r="D20" s="10">
        <v>10507</v>
      </c>
      <c r="E20" s="10">
        <v>11319</v>
      </c>
      <c r="F20" s="21">
        <v>2763</v>
      </c>
      <c r="G20" s="21">
        <v>2777</v>
      </c>
      <c r="H20" s="21">
        <v>2505</v>
      </c>
      <c r="I20" s="21">
        <v>2875</v>
      </c>
      <c r="J20" s="22">
        <v>10920</v>
      </c>
      <c r="K20" s="23">
        <v>2819</v>
      </c>
      <c r="L20" s="23"/>
      <c r="M20" s="23"/>
      <c r="N20" s="23"/>
      <c r="O20" s="10">
        <v>2819</v>
      </c>
      <c r="P20" s="24">
        <v>2.0267824828085423E-2</v>
      </c>
      <c r="Q20" s="24">
        <v>2.0267824828085423E-2</v>
      </c>
      <c r="R20" s="25">
        <v>2.7436324174915084E-2</v>
      </c>
    </row>
    <row r="21" spans="1:18" ht="15" customHeight="1" x14ac:dyDescent="0.35">
      <c r="A21" s="9" t="s">
        <v>52</v>
      </c>
      <c r="B21" s="10">
        <v>3336</v>
      </c>
      <c r="C21" s="10">
        <v>3346</v>
      </c>
      <c r="D21" s="10">
        <v>3001</v>
      </c>
      <c r="E21" s="10">
        <v>2906</v>
      </c>
      <c r="F21" s="21">
        <v>539</v>
      </c>
      <c r="G21" s="21">
        <v>671</v>
      </c>
      <c r="H21" s="21">
        <v>790</v>
      </c>
      <c r="I21" s="21">
        <v>1122</v>
      </c>
      <c r="J21" s="22">
        <v>3122</v>
      </c>
      <c r="K21" s="23">
        <v>726</v>
      </c>
      <c r="L21" s="23"/>
      <c r="M21" s="23"/>
      <c r="N21" s="23"/>
      <c r="O21" s="10">
        <v>726</v>
      </c>
      <c r="P21" s="24">
        <v>0.34693877551020402</v>
      </c>
      <c r="Q21" s="24">
        <v>0.34693877551020402</v>
      </c>
      <c r="R21" s="25">
        <v>7.0658997342988115E-3</v>
      </c>
    </row>
    <row r="22" spans="1:18" ht="15" customHeight="1" x14ac:dyDescent="0.35">
      <c r="A22" s="9" t="s">
        <v>31</v>
      </c>
      <c r="B22" s="10">
        <v>19609</v>
      </c>
      <c r="C22" s="10">
        <v>18354</v>
      </c>
      <c r="D22" s="10">
        <v>18427</v>
      </c>
      <c r="E22" s="10">
        <v>17275</v>
      </c>
      <c r="F22" s="21">
        <v>4065</v>
      </c>
      <c r="G22" s="21">
        <v>3971</v>
      </c>
      <c r="H22" s="21">
        <v>4847</v>
      </c>
      <c r="I22" s="21">
        <v>5151</v>
      </c>
      <c r="J22" s="22">
        <v>18034</v>
      </c>
      <c r="K22" s="23">
        <v>4139</v>
      </c>
      <c r="L22" s="23"/>
      <c r="M22" s="23"/>
      <c r="N22" s="23"/>
      <c r="O22" s="10">
        <v>4139</v>
      </c>
      <c r="P22" s="24">
        <v>1.8204182041820394E-2</v>
      </c>
      <c r="Q22" s="24">
        <v>1.8204182041820394E-2</v>
      </c>
      <c r="R22" s="25">
        <v>4.028341460091292E-2</v>
      </c>
    </row>
    <row r="23" spans="1:18" ht="15" customHeight="1" x14ac:dyDescent="0.35">
      <c r="A23" s="9" t="s">
        <v>32</v>
      </c>
      <c r="B23" s="10">
        <v>556</v>
      </c>
      <c r="C23" s="10">
        <v>519</v>
      </c>
      <c r="D23" s="10">
        <v>585</v>
      </c>
      <c r="E23" s="10">
        <v>585</v>
      </c>
      <c r="F23" s="21">
        <v>106</v>
      </c>
      <c r="G23" s="21">
        <v>158</v>
      </c>
      <c r="H23" s="21">
        <v>164</v>
      </c>
      <c r="I23" s="21">
        <v>156</v>
      </c>
      <c r="J23" s="22">
        <v>584</v>
      </c>
      <c r="K23" s="23">
        <v>140</v>
      </c>
      <c r="L23" s="23"/>
      <c r="M23" s="23"/>
      <c r="N23" s="23"/>
      <c r="O23" s="10">
        <v>140</v>
      </c>
      <c r="P23" s="24">
        <v>0.320754716981132</v>
      </c>
      <c r="Q23" s="24">
        <v>0.320754716981132</v>
      </c>
      <c r="R23" s="25">
        <v>1.3625701966967405E-3</v>
      </c>
    </row>
    <row r="24" spans="1:18" ht="15" customHeight="1" x14ac:dyDescent="0.35">
      <c r="A24" s="9" t="s">
        <v>53</v>
      </c>
      <c r="B24" s="10">
        <v>320</v>
      </c>
      <c r="C24" s="10">
        <v>426</v>
      </c>
      <c r="D24" s="10">
        <v>419</v>
      </c>
      <c r="E24" s="10">
        <v>567</v>
      </c>
      <c r="F24" s="21">
        <v>153</v>
      </c>
      <c r="G24" s="21">
        <v>144</v>
      </c>
      <c r="H24" s="21">
        <v>126</v>
      </c>
      <c r="I24" s="21">
        <v>172</v>
      </c>
      <c r="J24" s="22">
        <v>595</v>
      </c>
      <c r="K24" s="23">
        <v>106</v>
      </c>
      <c r="L24" s="23"/>
      <c r="M24" s="23"/>
      <c r="N24" s="23"/>
      <c r="O24" s="10">
        <v>106</v>
      </c>
      <c r="P24" s="24">
        <v>-0.30718954248366015</v>
      </c>
      <c r="Q24" s="24">
        <v>-0.30718954248366015</v>
      </c>
      <c r="R24" s="25">
        <v>1.031660291784675E-3</v>
      </c>
    </row>
    <row r="25" spans="1:18" ht="15" customHeight="1" x14ac:dyDescent="0.35">
      <c r="A25" s="9" t="s">
        <v>54</v>
      </c>
      <c r="B25" s="10">
        <v>1950</v>
      </c>
      <c r="C25" s="10">
        <v>1728</v>
      </c>
      <c r="D25" s="10">
        <v>1576</v>
      </c>
      <c r="E25" s="10">
        <v>1132</v>
      </c>
      <c r="F25" s="21">
        <v>227</v>
      </c>
      <c r="G25" s="21">
        <v>241</v>
      </c>
      <c r="H25" s="21">
        <v>246</v>
      </c>
      <c r="I25" s="21">
        <v>238</v>
      </c>
      <c r="J25" s="22">
        <v>952</v>
      </c>
      <c r="K25" s="23">
        <v>214</v>
      </c>
      <c r="L25" s="23"/>
      <c r="M25" s="23"/>
      <c r="N25" s="23"/>
      <c r="O25" s="10">
        <v>214</v>
      </c>
      <c r="P25" s="24">
        <v>-5.7268722466960353E-2</v>
      </c>
      <c r="Q25" s="24">
        <v>-5.7268722466960353E-2</v>
      </c>
      <c r="R25" s="25">
        <v>2.0827858720935889E-3</v>
      </c>
    </row>
    <row r="26" spans="1:18" ht="15" customHeight="1" x14ac:dyDescent="0.35">
      <c r="A26" s="9" t="s">
        <v>33</v>
      </c>
      <c r="B26" s="10">
        <v>43704</v>
      </c>
      <c r="C26" s="10">
        <v>40598</v>
      </c>
      <c r="D26" s="10">
        <v>38141</v>
      </c>
      <c r="E26" s="10">
        <v>37583</v>
      </c>
      <c r="F26" s="21">
        <v>8923</v>
      </c>
      <c r="G26" s="21">
        <v>8967</v>
      </c>
      <c r="H26" s="21">
        <v>9010</v>
      </c>
      <c r="I26" s="21">
        <v>9785</v>
      </c>
      <c r="J26" s="22">
        <v>36685</v>
      </c>
      <c r="K26" s="23">
        <v>8803</v>
      </c>
      <c r="L26" s="23"/>
      <c r="M26" s="23"/>
      <c r="N26" s="23"/>
      <c r="O26" s="10">
        <v>8803</v>
      </c>
      <c r="P26" s="24">
        <v>-1.3448391796481052E-2</v>
      </c>
      <c r="Q26" s="24">
        <v>-1.3448391796481052E-2</v>
      </c>
      <c r="R26" s="25">
        <v>8.5676467439438617E-2</v>
      </c>
    </row>
    <row r="27" spans="1:18" ht="15" customHeight="1" x14ac:dyDescent="0.35">
      <c r="A27" s="9" t="s">
        <v>55</v>
      </c>
      <c r="B27" s="10">
        <v>1046</v>
      </c>
      <c r="C27" s="10">
        <v>1179</v>
      </c>
      <c r="D27" s="10">
        <v>1139</v>
      </c>
      <c r="E27" s="10">
        <v>962</v>
      </c>
      <c r="F27" s="21">
        <v>193</v>
      </c>
      <c r="G27" s="21">
        <v>248</v>
      </c>
      <c r="H27" s="21">
        <v>188</v>
      </c>
      <c r="I27" s="21">
        <v>329</v>
      </c>
      <c r="J27" s="22">
        <v>958</v>
      </c>
      <c r="K27" s="23">
        <v>178</v>
      </c>
      <c r="L27" s="23"/>
      <c r="M27" s="23"/>
      <c r="N27" s="23"/>
      <c r="O27" s="10">
        <v>178</v>
      </c>
      <c r="P27" s="24">
        <v>-7.7720207253886064E-2</v>
      </c>
      <c r="Q27" s="24">
        <v>-7.7720207253886064E-2</v>
      </c>
      <c r="R27" s="25">
        <v>1.7324106786572844E-3</v>
      </c>
    </row>
    <row r="28" spans="1:18" ht="15" customHeight="1" x14ac:dyDescent="0.35">
      <c r="A28" s="17" t="s">
        <v>34</v>
      </c>
      <c r="B28" s="18">
        <v>14981</v>
      </c>
      <c r="C28" s="18">
        <v>13749</v>
      </c>
      <c r="D28" s="18">
        <v>12317</v>
      </c>
      <c r="E28" s="18">
        <v>11228</v>
      </c>
      <c r="F28" s="26">
        <v>2575</v>
      </c>
      <c r="G28" s="26">
        <v>1537</v>
      </c>
      <c r="H28" s="26">
        <v>1597</v>
      </c>
      <c r="I28" s="26">
        <v>1823</v>
      </c>
      <c r="J28" s="27">
        <v>7532</v>
      </c>
      <c r="K28" s="28">
        <v>1760</v>
      </c>
      <c r="L28" s="28"/>
      <c r="M28" s="28"/>
      <c r="N28" s="28"/>
      <c r="O28" s="18">
        <v>1760</v>
      </c>
      <c r="P28" s="29">
        <v>-0.31650485436893205</v>
      </c>
      <c r="Q28" s="29">
        <v>-0.31650485436893205</v>
      </c>
      <c r="R28" s="30">
        <v>1.7129453901330454E-2</v>
      </c>
    </row>
    <row r="29" spans="1:18" ht="15" customHeight="1" x14ac:dyDescent="0.35">
      <c r="A29" t="s">
        <v>35</v>
      </c>
      <c r="B29" s="19">
        <f>SUBTOTAL(109,Tabell_Storb[2019])</f>
        <v>417043</v>
      </c>
      <c r="C29" s="19">
        <f>SUBTOTAL(109,Tabell_Storb[2020])</f>
        <v>420198</v>
      </c>
      <c r="D29" s="19">
        <f>SUBTOTAL(109,Tabell_Storb[2021])</f>
        <v>399962</v>
      </c>
      <c r="E29" s="19">
        <f>SUBTOTAL(109,Tabell_Storb[2022])</f>
        <v>400216</v>
      </c>
      <c r="F29" s="19">
        <f>SUBTOTAL(109,Tabell_Storb[Kvartal 1 2023])</f>
        <v>99103</v>
      </c>
      <c r="G29" s="19">
        <f>SUBTOTAL(109,Tabell_Storb[Kvartal 2 2023])</f>
        <v>96033</v>
      </c>
      <c r="H29" s="19">
        <f>SUBTOTAL(109,Tabell_Storb[Kvartal 3 2023])</f>
        <v>105136</v>
      </c>
      <c r="I29" s="19">
        <f>SUBTOTAL(109,Tabell_Storb[Kvartal 4 2023])</f>
        <v>109482</v>
      </c>
      <c r="J29" s="19">
        <f>SUBTOTAL(109,Tabell_Storb[2023])</f>
        <v>409754</v>
      </c>
      <c r="K29" s="19">
        <f>SUBTOTAL(109,Tabell_Storb[Kvartal 1 2024])</f>
        <v>102747</v>
      </c>
      <c r="L29" s="19">
        <f>SUBTOTAL(109,Tabell_Storb[Kvartal 2 2024])</f>
        <v>0</v>
      </c>
      <c r="M29" s="19">
        <f>SUBTOTAL(109,Tabell_Storb[Kvartal 3 2024])</f>
        <v>0</v>
      </c>
      <c r="N29" s="19">
        <f>SUBTOTAL(109,Tabell_Storb[Kvartal 4 2024])</f>
        <v>0</v>
      </c>
      <c r="O29" s="19">
        <f>SUBTOTAL(109,Tabell_Storb[2024])</f>
        <v>102747</v>
      </c>
      <c r="P29" s="20">
        <f>K29/F29-1</f>
        <v>3.6769825333239137E-2</v>
      </c>
      <c r="Q29" s="20">
        <f>O29/SUM(F29:F29)-1</f>
        <v>3.6769825333239137E-2</v>
      </c>
      <c r="R29" s="20">
        <f>SUBTOTAL(109,Tabell_Storb[Procentuell andel 2024*])</f>
        <v>0.99999999999999989</v>
      </c>
    </row>
    <row r="30" spans="1:18" ht="15" customHeight="1" x14ac:dyDescent="0.35">
      <c r="A30" t="s">
        <v>56</v>
      </c>
    </row>
    <row r="31" spans="1:18" ht="15" customHeight="1" x14ac:dyDescent="0.35">
      <c r="A31" t="s">
        <v>37</v>
      </c>
    </row>
    <row r="32" spans="1:18" ht="15" customHeight="1" x14ac:dyDescent="0.35">
      <c r="A32" t="s">
        <v>57</v>
      </c>
    </row>
    <row r="33" spans="1:1" ht="15" customHeight="1" x14ac:dyDescent="0.35">
      <c r="A33" t="s">
        <v>39</v>
      </c>
    </row>
    <row r="34" spans="1:1" ht="15" customHeight="1" x14ac:dyDescent="0.35"/>
    <row r="35" spans="1:1" ht="15" customHeight="1" x14ac:dyDescent="0.35"/>
    <row r="36" spans="1:1" ht="15" customHeight="1" x14ac:dyDescent="0.35"/>
    <row r="37" spans="1:1" ht="15" customHeight="1" x14ac:dyDescent="0.35"/>
    <row r="38" spans="1:1" ht="15" customHeight="1" x14ac:dyDescent="0.35"/>
    <row r="39" spans="1:1" ht="15" customHeight="1" x14ac:dyDescent="0.35"/>
    <row r="40" spans="1:1" ht="15" customHeight="1" x14ac:dyDescent="0.35"/>
    <row r="41" spans="1:1" ht="15" customHeight="1" x14ac:dyDescent="0.35"/>
    <row r="42" spans="1:1" ht="15" customHeight="1" x14ac:dyDescent="0.35"/>
    <row r="43" spans="1:1" ht="15" customHeight="1" x14ac:dyDescent="0.35"/>
    <row r="44" spans="1:1" ht="15" customHeight="1" x14ac:dyDescent="0.35"/>
    <row r="45" spans="1:1" ht="15" customHeight="1" x14ac:dyDescent="0.35"/>
    <row r="46" spans="1:1" ht="15" customHeight="1" x14ac:dyDescent="0.35"/>
    <row r="47" spans="1:1" ht="15" customHeight="1" x14ac:dyDescent="0.35"/>
    <row r="48" spans="1:1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</sheetData>
  <pageMargins left="0.70866141732283472" right="0.31496062992125984" top="0.55118110236220474" bottom="0.74803149606299213" header="0.31496062992125984" footer="0.31496062992125984"/>
  <pageSetup paperSize="9" scale="7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9410-A2D2-417A-8080-B135776F153C}">
  <sheetPr codeName="flKalv">
    <pageSetUpPr fitToPage="1"/>
  </sheetPr>
  <dimension ref="A1:W69"/>
  <sheetViews>
    <sheetView topLeftCell="A4" workbookViewId="0">
      <selection activeCell="R1" sqref="R1"/>
    </sheetView>
  </sheetViews>
  <sheetFormatPr defaultColWidth="9.1796875" defaultRowHeight="14.5" x14ac:dyDescent="0.35"/>
  <cols>
    <col min="1" max="1" width="27" customWidth="1"/>
    <col min="2" max="15" width="8.26953125" customWidth="1"/>
    <col min="16" max="16" width="9.26953125" customWidth="1"/>
    <col min="17" max="17" width="10.1796875" customWidth="1"/>
    <col min="18" max="18" width="10" customWidth="1"/>
  </cols>
  <sheetData>
    <row r="1" spans="1:23" ht="92.25" customHeight="1" x14ac:dyDescent="0.35">
      <c r="A1" s="1" t="s">
        <v>58</v>
      </c>
      <c r="C1" s="1"/>
      <c r="J1" s="1"/>
      <c r="R1" s="2"/>
    </row>
    <row r="2" spans="1:23" ht="45" customHeight="1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6" t="s">
        <v>16</v>
      </c>
      <c r="Q2" s="6" t="s">
        <v>17</v>
      </c>
      <c r="R2" s="7" t="s">
        <v>18</v>
      </c>
    </row>
    <row r="3" spans="1:23" ht="15" customHeight="1" x14ac:dyDescent="0.35">
      <c r="A3" s="9" t="s">
        <v>41</v>
      </c>
      <c r="B3" s="10">
        <v>133</v>
      </c>
      <c r="C3" s="10">
        <v>109</v>
      </c>
      <c r="D3" s="10">
        <v>102</v>
      </c>
      <c r="E3" s="10">
        <v>105</v>
      </c>
      <c r="F3" s="21">
        <v>39</v>
      </c>
      <c r="G3" s="21">
        <v>27</v>
      </c>
      <c r="H3" s="21">
        <v>25</v>
      </c>
      <c r="I3" s="21">
        <v>26</v>
      </c>
      <c r="J3" s="10">
        <v>117</v>
      </c>
      <c r="K3" s="23">
        <v>32</v>
      </c>
      <c r="L3" s="23"/>
      <c r="M3" s="31"/>
      <c r="N3" s="31"/>
      <c r="O3" s="10">
        <v>32</v>
      </c>
      <c r="P3" s="25">
        <v>-0.17948717948717952</v>
      </c>
      <c r="Q3" s="24">
        <v>-0.17948717948717952</v>
      </c>
      <c r="R3" s="25">
        <v>1.1351543100390209E-2</v>
      </c>
      <c r="U3" s="32" t="s">
        <v>59</v>
      </c>
    </row>
    <row r="4" spans="1:23" ht="15" customHeight="1" x14ac:dyDescent="0.35">
      <c r="A4" s="9" t="s">
        <v>60</v>
      </c>
      <c r="B4" s="10">
        <v>16</v>
      </c>
      <c r="C4" s="10">
        <v>19</v>
      </c>
      <c r="D4" s="10">
        <v>62</v>
      </c>
      <c r="E4" s="10">
        <v>58</v>
      </c>
      <c r="F4" s="21">
        <v>18</v>
      </c>
      <c r="G4" s="21">
        <v>15</v>
      </c>
      <c r="H4" s="21">
        <v>12</v>
      </c>
      <c r="I4" s="21">
        <v>14</v>
      </c>
      <c r="J4" s="10">
        <v>59</v>
      </c>
      <c r="K4" s="23">
        <v>19</v>
      </c>
      <c r="L4" s="23"/>
      <c r="M4" s="31"/>
      <c r="N4" s="31"/>
      <c r="O4" s="10">
        <v>19</v>
      </c>
      <c r="P4" s="25">
        <v>5.555555555555558E-2</v>
      </c>
      <c r="Q4" s="24">
        <v>5.555555555555558E-2</v>
      </c>
      <c r="R4" s="25">
        <v>6.7399787158566871E-3</v>
      </c>
    </row>
    <row r="5" spans="1:23" ht="15" customHeight="1" x14ac:dyDescent="0.35">
      <c r="A5" s="9" t="s">
        <v>61</v>
      </c>
      <c r="B5" s="10"/>
      <c r="C5" s="10">
        <v>82</v>
      </c>
      <c r="D5" s="10">
        <v>100</v>
      </c>
      <c r="E5" s="10">
        <v>130</v>
      </c>
      <c r="F5" s="21">
        <v>30</v>
      </c>
      <c r="G5" s="21">
        <v>32</v>
      </c>
      <c r="H5" s="21">
        <v>25</v>
      </c>
      <c r="I5" s="21">
        <v>48</v>
      </c>
      <c r="J5" s="10">
        <v>135</v>
      </c>
      <c r="K5" s="23">
        <v>32</v>
      </c>
      <c r="L5" s="23"/>
      <c r="M5" s="31"/>
      <c r="N5" s="31"/>
      <c r="O5" s="10">
        <v>32</v>
      </c>
      <c r="P5" s="25">
        <v>6.6666666666666652E-2</v>
      </c>
      <c r="Q5" s="24">
        <v>6.6666666666666652E-2</v>
      </c>
      <c r="R5" s="25">
        <v>1.1351543100390209E-2</v>
      </c>
    </row>
    <row r="6" spans="1:23" ht="15" customHeight="1" x14ac:dyDescent="0.35">
      <c r="A6" s="9" t="s">
        <v>22</v>
      </c>
      <c r="B6" s="10">
        <v>309</v>
      </c>
      <c r="C6" s="10">
        <v>280</v>
      </c>
      <c r="D6" s="10">
        <v>245</v>
      </c>
      <c r="E6" s="10">
        <v>230</v>
      </c>
      <c r="F6" s="21">
        <v>66</v>
      </c>
      <c r="G6" s="21">
        <v>40</v>
      </c>
      <c r="H6" s="21">
        <v>60</v>
      </c>
      <c r="I6" s="21">
        <v>43</v>
      </c>
      <c r="J6" s="10">
        <v>209</v>
      </c>
      <c r="K6" s="23">
        <v>56</v>
      </c>
      <c r="L6" s="23"/>
      <c r="M6" s="31"/>
      <c r="N6" s="31"/>
      <c r="O6" s="10">
        <v>56</v>
      </c>
      <c r="P6" s="25">
        <v>-0.15151515151515149</v>
      </c>
      <c r="Q6" s="24">
        <v>-0.15151515151515149</v>
      </c>
      <c r="R6" s="25">
        <v>1.9865200425682867E-2</v>
      </c>
      <c r="W6" s="32" t="s">
        <v>62</v>
      </c>
    </row>
    <row r="7" spans="1:23" ht="15" customHeight="1" x14ac:dyDescent="0.35">
      <c r="A7" s="9" t="s">
        <v>43</v>
      </c>
      <c r="B7" s="10">
        <v>11</v>
      </c>
      <c r="C7" s="10">
        <v>4</v>
      </c>
      <c r="D7" s="10"/>
      <c r="E7" s="10">
        <v>5</v>
      </c>
      <c r="F7" s="21"/>
      <c r="G7" s="21">
        <v>2</v>
      </c>
      <c r="H7" s="21"/>
      <c r="I7" s="21"/>
      <c r="J7" s="10">
        <v>2</v>
      </c>
      <c r="K7" s="23">
        <v>20</v>
      </c>
      <c r="L7" s="23"/>
      <c r="M7" s="31"/>
      <c r="N7" s="31"/>
      <c r="O7" s="10">
        <v>20</v>
      </c>
      <c r="P7" s="25" t="s">
        <v>63</v>
      </c>
      <c r="Q7" s="24" t="s">
        <v>63</v>
      </c>
      <c r="R7" s="25">
        <v>7.0947144377438804E-3</v>
      </c>
    </row>
    <row r="8" spans="1:23" ht="15" customHeight="1" x14ac:dyDescent="0.35">
      <c r="A8" s="9" t="s">
        <v>44</v>
      </c>
      <c r="B8" s="10">
        <v>355</v>
      </c>
      <c r="C8" s="10">
        <v>294</v>
      </c>
      <c r="D8" s="10">
        <v>319</v>
      </c>
      <c r="E8" s="10">
        <v>328</v>
      </c>
      <c r="F8" s="21">
        <v>77</v>
      </c>
      <c r="G8" s="21">
        <v>68</v>
      </c>
      <c r="H8" s="21">
        <v>60</v>
      </c>
      <c r="I8" s="21">
        <v>196</v>
      </c>
      <c r="J8" s="10">
        <v>401</v>
      </c>
      <c r="K8" s="23">
        <v>114</v>
      </c>
      <c r="L8" s="23"/>
      <c r="M8" s="31"/>
      <c r="N8" s="31"/>
      <c r="O8" s="10">
        <v>114</v>
      </c>
      <c r="P8" s="25">
        <v>0.48051948051948057</v>
      </c>
      <c r="Q8" s="24">
        <v>0.48051948051948057</v>
      </c>
      <c r="R8" s="25">
        <v>4.0439872295140122E-2</v>
      </c>
    </row>
    <row r="9" spans="1:23" ht="15" customHeight="1" x14ac:dyDescent="0.35">
      <c r="A9" s="9" t="s">
        <v>45</v>
      </c>
      <c r="B9" s="10">
        <v>264</v>
      </c>
      <c r="C9" s="10">
        <v>247</v>
      </c>
      <c r="D9" s="10">
        <v>169</v>
      </c>
      <c r="E9" s="10">
        <v>95</v>
      </c>
      <c r="F9" s="21">
        <v>198</v>
      </c>
      <c r="G9" s="21">
        <v>46</v>
      </c>
      <c r="H9" s="21">
        <v>36</v>
      </c>
      <c r="I9" s="21">
        <v>232</v>
      </c>
      <c r="J9" s="10">
        <v>512</v>
      </c>
      <c r="K9" s="23">
        <v>427</v>
      </c>
      <c r="L9" s="23"/>
      <c r="M9" s="31"/>
      <c r="N9" s="31"/>
      <c r="O9" s="10">
        <v>427</v>
      </c>
      <c r="P9" s="25">
        <v>1.1565656565656566</v>
      </c>
      <c r="Q9" s="24">
        <v>1.1565656565656566</v>
      </c>
      <c r="R9" s="25">
        <v>0.15147215324583185</v>
      </c>
    </row>
    <row r="10" spans="1:23" ht="15" customHeight="1" x14ac:dyDescent="0.35">
      <c r="A10" s="9" t="s">
        <v>46</v>
      </c>
      <c r="B10" s="10">
        <v>598</v>
      </c>
      <c r="C10" s="10">
        <v>598</v>
      </c>
      <c r="D10" s="10">
        <v>559</v>
      </c>
      <c r="E10" s="10">
        <v>638</v>
      </c>
      <c r="F10" s="21">
        <v>178</v>
      </c>
      <c r="G10" s="21">
        <v>153</v>
      </c>
      <c r="H10" s="21">
        <v>122</v>
      </c>
      <c r="I10" s="21">
        <v>157</v>
      </c>
      <c r="J10" s="10">
        <v>610</v>
      </c>
      <c r="K10" s="23">
        <v>197</v>
      </c>
      <c r="L10" s="23"/>
      <c r="M10" s="31"/>
      <c r="N10" s="31"/>
      <c r="O10" s="10">
        <v>197</v>
      </c>
      <c r="P10" s="25">
        <v>0.10674157303370779</v>
      </c>
      <c r="Q10" s="24">
        <v>0.10674157303370779</v>
      </c>
      <c r="R10" s="25">
        <v>6.9882937211777227E-2</v>
      </c>
    </row>
    <row r="11" spans="1:23" ht="15" customHeight="1" x14ac:dyDescent="0.35">
      <c r="A11" s="9" t="s">
        <v>23</v>
      </c>
      <c r="B11" s="10">
        <v>4245</v>
      </c>
      <c r="C11" s="10">
        <v>5351</v>
      </c>
      <c r="D11" s="10">
        <v>5830</v>
      </c>
      <c r="E11" s="10">
        <v>6103</v>
      </c>
      <c r="F11" s="21">
        <v>1458</v>
      </c>
      <c r="G11" s="21">
        <v>1312</v>
      </c>
      <c r="H11" s="21">
        <v>1528</v>
      </c>
      <c r="I11" s="21">
        <v>1174</v>
      </c>
      <c r="J11" s="10">
        <v>5472</v>
      </c>
      <c r="K11" s="23">
        <v>985</v>
      </c>
      <c r="L11" s="23"/>
      <c r="M11" s="31"/>
      <c r="N11" s="31"/>
      <c r="O11" s="10">
        <v>985</v>
      </c>
      <c r="P11" s="25">
        <v>-0.32441700960219477</v>
      </c>
      <c r="Q11" s="24">
        <v>-0.32441700960219477</v>
      </c>
      <c r="R11" s="25">
        <v>0.34941468605888615</v>
      </c>
    </row>
    <row r="12" spans="1:23" ht="15" customHeight="1" x14ac:dyDescent="0.35">
      <c r="A12" s="9" t="s">
        <v>24</v>
      </c>
      <c r="B12" s="10">
        <v>97</v>
      </c>
      <c r="C12" s="10">
        <v>34</v>
      </c>
      <c r="D12" s="10">
        <v>28</v>
      </c>
      <c r="E12" s="10">
        <v>31</v>
      </c>
      <c r="F12" s="21">
        <v>6</v>
      </c>
      <c r="G12" s="21">
        <v>3</v>
      </c>
      <c r="H12" s="21"/>
      <c r="I12" s="21">
        <v>6</v>
      </c>
      <c r="J12" s="10">
        <v>15</v>
      </c>
      <c r="K12" s="23">
        <v>11</v>
      </c>
      <c r="L12" s="23"/>
      <c r="M12" s="31"/>
      <c r="N12" s="31"/>
      <c r="O12" s="10">
        <v>11</v>
      </c>
      <c r="P12" s="25">
        <v>0.83333333333333326</v>
      </c>
      <c r="Q12" s="24">
        <v>0.83333333333333326</v>
      </c>
      <c r="R12" s="25">
        <v>3.9020929407591345E-3</v>
      </c>
    </row>
    <row r="13" spans="1:23" ht="15" customHeight="1" x14ac:dyDescent="0.35">
      <c r="A13" s="9" t="s">
        <v>47</v>
      </c>
      <c r="B13" s="10">
        <v>75</v>
      </c>
      <c r="C13" s="10">
        <v>61</v>
      </c>
      <c r="D13" s="10">
        <v>43</v>
      </c>
      <c r="E13" s="10">
        <v>12</v>
      </c>
      <c r="F13" s="21">
        <v>32</v>
      </c>
      <c r="G13" s="21">
        <v>9</v>
      </c>
      <c r="H13" s="21">
        <v>5</v>
      </c>
      <c r="I13" s="21">
        <v>40</v>
      </c>
      <c r="J13" s="10">
        <v>86</v>
      </c>
      <c r="K13" s="23">
        <v>23</v>
      </c>
      <c r="L13" s="23"/>
      <c r="M13" s="31"/>
      <c r="N13" s="31"/>
      <c r="O13" s="10">
        <v>23</v>
      </c>
      <c r="P13" s="25">
        <v>-0.28125</v>
      </c>
      <c r="Q13" s="24">
        <v>-0.28125</v>
      </c>
      <c r="R13" s="25">
        <v>8.1589216034054623E-3</v>
      </c>
    </row>
    <row r="14" spans="1:23" ht="15" customHeight="1" x14ac:dyDescent="0.35">
      <c r="A14" s="9" t="s">
        <v>27</v>
      </c>
      <c r="B14" s="10">
        <v>3102</v>
      </c>
      <c r="C14" s="10">
        <v>1481</v>
      </c>
      <c r="D14" s="10">
        <v>241</v>
      </c>
      <c r="E14" s="10">
        <v>386</v>
      </c>
      <c r="F14" s="21">
        <v>136</v>
      </c>
      <c r="G14" s="21">
        <v>375</v>
      </c>
      <c r="H14" s="21">
        <v>348</v>
      </c>
      <c r="I14" s="21">
        <v>323</v>
      </c>
      <c r="J14" s="10">
        <v>1182</v>
      </c>
      <c r="K14" s="23">
        <v>355</v>
      </c>
      <c r="L14" s="23"/>
      <c r="M14" s="31"/>
      <c r="N14" s="31"/>
      <c r="O14" s="10">
        <v>355</v>
      </c>
      <c r="P14" s="25">
        <v>1.6102941176470589</v>
      </c>
      <c r="Q14" s="24">
        <v>1.6102941176470589</v>
      </c>
      <c r="R14" s="25">
        <v>0.1259311812699539</v>
      </c>
    </row>
    <row r="15" spans="1:23" ht="15" customHeight="1" x14ac:dyDescent="0.35">
      <c r="A15" s="9" t="s">
        <v>30</v>
      </c>
      <c r="B15" s="10">
        <v>199</v>
      </c>
      <c r="C15" s="10">
        <v>184</v>
      </c>
      <c r="D15" s="10">
        <v>111</v>
      </c>
      <c r="E15" s="10">
        <v>235</v>
      </c>
      <c r="F15" s="21">
        <v>57</v>
      </c>
      <c r="G15" s="21">
        <v>65</v>
      </c>
      <c r="H15" s="21">
        <v>63</v>
      </c>
      <c r="I15" s="21">
        <v>23</v>
      </c>
      <c r="J15" s="10">
        <v>208</v>
      </c>
      <c r="K15" s="23">
        <v>45</v>
      </c>
      <c r="L15" s="23"/>
      <c r="M15" s="31"/>
      <c r="N15" s="31"/>
      <c r="O15" s="10">
        <v>45</v>
      </c>
      <c r="P15" s="25">
        <v>-0.21052631578947367</v>
      </c>
      <c r="Q15" s="24">
        <v>-0.21052631578947367</v>
      </c>
      <c r="R15" s="25">
        <v>1.596310748492373E-2</v>
      </c>
    </row>
    <row r="16" spans="1:23" ht="15" customHeight="1" x14ac:dyDescent="0.35">
      <c r="A16" s="9" t="s">
        <v>49</v>
      </c>
      <c r="B16" s="10">
        <v>88</v>
      </c>
      <c r="C16" s="10">
        <v>64</v>
      </c>
      <c r="D16" s="10">
        <v>73</v>
      </c>
      <c r="E16" s="10">
        <v>72</v>
      </c>
      <c r="F16" s="21">
        <v>33</v>
      </c>
      <c r="G16" s="21">
        <v>19</v>
      </c>
      <c r="H16" s="21">
        <v>20</v>
      </c>
      <c r="I16" s="21">
        <v>39</v>
      </c>
      <c r="J16" s="10">
        <v>111</v>
      </c>
      <c r="K16" s="23">
        <v>60</v>
      </c>
      <c r="L16" s="23"/>
      <c r="M16" s="31"/>
      <c r="N16" s="31"/>
      <c r="O16" s="10">
        <v>60</v>
      </c>
      <c r="P16" s="25">
        <v>0.81818181818181812</v>
      </c>
      <c r="Q16" s="24">
        <v>0.81818181818181812</v>
      </c>
      <c r="R16" s="25">
        <v>2.1284143313231644E-2</v>
      </c>
    </row>
    <row r="17" spans="1:18" ht="15" customHeight="1" x14ac:dyDescent="0.35">
      <c r="A17" s="9" t="s">
        <v>50</v>
      </c>
      <c r="B17" s="10">
        <v>73</v>
      </c>
      <c r="C17" s="10">
        <v>92</v>
      </c>
      <c r="D17" s="10">
        <v>74</v>
      </c>
      <c r="E17" s="10">
        <v>163</v>
      </c>
      <c r="F17" s="21">
        <v>91</v>
      </c>
      <c r="G17" s="21">
        <v>49</v>
      </c>
      <c r="H17" s="21">
        <v>52</v>
      </c>
      <c r="I17" s="21">
        <v>54</v>
      </c>
      <c r="J17" s="10">
        <v>246</v>
      </c>
      <c r="K17" s="23">
        <v>56</v>
      </c>
      <c r="L17" s="23"/>
      <c r="M17" s="31"/>
      <c r="N17" s="31"/>
      <c r="O17" s="10">
        <v>56</v>
      </c>
      <c r="P17" s="25">
        <v>-0.38461538461538458</v>
      </c>
      <c r="Q17" s="24">
        <v>-0.38461538461538458</v>
      </c>
      <c r="R17" s="25">
        <v>1.9865200425682867E-2</v>
      </c>
    </row>
    <row r="18" spans="1:18" ht="15" customHeight="1" x14ac:dyDescent="0.35">
      <c r="A18" s="9" t="s">
        <v>51</v>
      </c>
      <c r="B18" s="10">
        <v>702</v>
      </c>
      <c r="C18" s="10">
        <v>580</v>
      </c>
      <c r="D18" s="10">
        <v>589</v>
      </c>
      <c r="E18" s="10">
        <v>509</v>
      </c>
      <c r="F18" s="21">
        <v>155</v>
      </c>
      <c r="G18" s="21">
        <v>87</v>
      </c>
      <c r="H18" s="21">
        <v>136</v>
      </c>
      <c r="I18" s="21">
        <v>215</v>
      </c>
      <c r="J18" s="10">
        <v>593</v>
      </c>
      <c r="K18" s="23">
        <v>184</v>
      </c>
      <c r="L18" s="23"/>
      <c r="M18" s="31"/>
      <c r="N18" s="31"/>
      <c r="O18" s="10">
        <v>184</v>
      </c>
      <c r="P18" s="25">
        <v>0.18709677419354831</v>
      </c>
      <c r="Q18" s="24">
        <v>0.18709677419354831</v>
      </c>
      <c r="R18" s="25">
        <v>6.5271372827243698E-2</v>
      </c>
    </row>
    <row r="19" spans="1:18" ht="15" customHeight="1" x14ac:dyDescent="0.35">
      <c r="A19" s="9" t="s">
        <v>53</v>
      </c>
      <c r="B19" s="10">
        <v>30</v>
      </c>
      <c r="C19" s="10">
        <v>43</v>
      </c>
      <c r="D19" s="10">
        <v>17</v>
      </c>
      <c r="E19" s="10">
        <v>42</v>
      </c>
      <c r="F19" s="21">
        <v>24</v>
      </c>
      <c r="G19" s="21">
        <v>12</v>
      </c>
      <c r="H19" s="21">
        <v>28</v>
      </c>
      <c r="I19" s="21">
        <v>26</v>
      </c>
      <c r="J19" s="10">
        <v>90</v>
      </c>
      <c r="K19" s="23">
        <v>24</v>
      </c>
      <c r="L19" s="23"/>
      <c r="M19" s="31"/>
      <c r="N19" s="31"/>
      <c r="O19" s="10">
        <v>24</v>
      </c>
      <c r="P19" s="25">
        <v>0</v>
      </c>
      <c r="Q19" s="24">
        <v>0</v>
      </c>
      <c r="R19" s="25">
        <v>8.5136573252926565E-3</v>
      </c>
    </row>
    <row r="20" spans="1:18" ht="15" customHeight="1" x14ac:dyDescent="0.35">
      <c r="A20" s="9" t="s">
        <v>33</v>
      </c>
      <c r="B20" s="10">
        <v>2277</v>
      </c>
      <c r="C20" s="10">
        <v>1806</v>
      </c>
      <c r="D20" s="10">
        <v>1877</v>
      </c>
      <c r="E20" s="10">
        <v>1312</v>
      </c>
      <c r="F20" s="21">
        <v>15</v>
      </c>
      <c r="G20" s="21">
        <v>6</v>
      </c>
      <c r="H20" s="21">
        <v>20</v>
      </c>
      <c r="I20" s="21">
        <v>60</v>
      </c>
      <c r="J20" s="10">
        <v>101</v>
      </c>
      <c r="K20" s="23">
        <v>9</v>
      </c>
      <c r="L20" s="23"/>
      <c r="M20" s="31"/>
      <c r="N20" s="31"/>
      <c r="O20" s="10">
        <v>9</v>
      </c>
      <c r="P20" s="25">
        <v>-0.4</v>
      </c>
      <c r="Q20" s="24">
        <v>-0.4</v>
      </c>
      <c r="R20" s="25">
        <v>3.1926214969847464E-3</v>
      </c>
    </row>
    <row r="21" spans="1:18" ht="15" customHeight="1" x14ac:dyDescent="0.35">
      <c r="A21" s="9" t="s">
        <v>64</v>
      </c>
      <c r="B21" s="10">
        <v>20</v>
      </c>
      <c r="C21" s="10">
        <v>14</v>
      </c>
      <c r="D21" s="10">
        <v>3</v>
      </c>
      <c r="E21" s="10">
        <v>7</v>
      </c>
      <c r="F21" s="21">
        <v>13</v>
      </c>
      <c r="G21" s="21">
        <v>12</v>
      </c>
      <c r="H21" s="21">
        <v>14</v>
      </c>
      <c r="I21" s="21">
        <v>23</v>
      </c>
      <c r="J21" s="10">
        <v>62</v>
      </c>
      <c r="K21" s="23">
        <v>10</v>
      </c>
      <c r="L21" s="23"/>
      <c r="M21" s="31"/>
      <c r="N21" s="31"/>
      <c r="O21" s="10">
        <v>10</v>
      </c>
      <c r="P21" s="25">
        <v>-0.23076923076923073</v>
      </c>
      <c r="Q21" s="24">
        <v>-0.23076923076923073</v>
      </c>
      <c r="R21" s="25">
        <v>3.5473572188719402E-3</v>
      </c>
    </row>
    <row r="22" spans="1:18" ht="15" customHeight="1" x14ac:dyDescent="0.35">
      <c r="A22" s="9" t="s">
        <v>55</v>
      </c>
      <c r="B22" s="10">
        <v>113</v>
      </c>
      <c r="C22" s="10">
        <v>98</v>
      </c>
      <c r="D22" s="10">
        <v>92</v>
      </c>
      <c r="E22" s="10">
        <v>102</v>
      </c>
      <c r="F22" s="21">
        <v>7</v>
      </c>
      <c r="G22" s="21">
        <v>1</v>
      </c>
      <c r="H22" s="21">
        <v>21</v>
      </c>
      <c r="I22" s="21">
        <v>40</v>
      </c>
      <c r="J22" s="10">
        <v>69</v>
      </c>
      <c r="K22" s="23">
        <v>18</v>
      </c>
      <c r="L22" s="23"/>
      <c r="M22" s="31"/>
      <c r="N22" s="31"/>
      <c r="O22" s="10">
        <v>18</v>
      </c>
      <c r="P22" s="25">
        <v>1.5714285714285716</v>
      </c>
      <c r="Q22" s="24">
        <v>1.5714285714285716</v>
      </c>
      <c r="R22" s="25">
        <v>6.3852429939694928E-3</v>
      </c>
    </row>
    <row r="23" spans="1:18" ht="15" customHeight="1" x14ac:dyDescent="0.35">
      <c r="A23" s="17" t="s">
        <v>34</v>
      </c>
      <c r="B23" s="18">
        <v>2184</v>
      </c>
      <c r="C23" s="18">
        <v>2027</v>
      </c>
      <c r="D23" s="18">
        <v>965</v>
      </c>
      <c r="E23" s="18">
        <v>911</v>
      </c>
      <c r="F23" s="26">
        <v>182</v>
      </c>
      <c r="G23" s="26">
        <v>121</v>
      </c>
      <c r="H23" s="26">
        <v>155</v>
      </c>
      <c r="I23" s="26">
        <v>220</v>
      </c>
      <c r="J23" s="18">
        <v>678</v>
      </c>
      <c r="K23" s="28">
        <v>142</v>
      </c>
      <c r="L23" s="28"/>
      <c r="M23" s="31"/>
      <c r="N23" s="31"/>
      <c r="O23" s="18">
        <v>142</v>
      </c>
      <c r="P23" s="30">
        <v>-0.21978021978021978</v>
      </c>
      <c r="Q23" s="29">
        <v>-0.21978021978021978</v>
      </c>
      <c r="R23" s="30">
        <v>5.0372472507981554E-2</v>
      </c>
    </row>
    <row r="24" spans="1:18" ht="15" customHeight="1" x14ac:dyDescent="0.35">
      <c r="A24" t="s">
        <v>35</v>
      </c>
      <c r="B24" s="19">
        <f>SUBTOTAL(109,Tabell_Kalv[2019])</f>
        <v>14891</v>
      </c>
      <c r="C24" s="19">
        <f>SUBTOTAL(109,Tabell_Kalv[2020])</f>
        <v>13468</v>
      </c>
      <c r="D24" s="19">
        <f>SUBTOTAL(109,Tabell_Kalv[2021])</f>
        <v>11499</v>
      </c>
      <c r="E24" s="19">
        <f>SUBTOTAL(109,Tabell_Kalv[2022])</f>
        <v>11474</v>
      </c>
      <c r="F24" s="19">
        <f>SUBTOTAL(109,Tabell_Kalv[Kvartal 1 2023])</f>
        <v>2815</v>
      </c>
      <c r="G24" s="19">
        <f>SUBTOTAL(109,Tabell_Kalv[Kvartal 2 2023])</f>
        <v>2454</v>
      </c>
      <c r="H24" s="19">
        <f>SUBTOTAL(109,Tabell_Kalv[Kvartal 3 2023])</f>
        <v>2730</v>
      </c>
      <c r="I24" s="19">
        <f>SUBTOTAL(109,Tabell_Kalv[Kvartal 4 2023])</f>
        <v>2959</v>
      </c>
      <c r="J24" s="19">
        <f>SUBTOTAL(109,Tabell_Kalv[2023])</f>
        <v>10958</v>
      </c>
      <c r="K24" s="19">
        <f>SUBTOTAL(109,Tabell_Kalv[Kvartal 1 2024])</f>
        <v>2819</v>
      </c>
      <c r="L24" s="19">
        <f>SUBTOTAL(109,Tabell_Kalv[Kvartal 2 2024])</f>
        <v>0</v>
      </c>
      <c r="M24" s="19">
        <f>SUBTOTAL(109,Tabell_Kalv[Kvartal 3 2024])</f>
        <v>0</v>
      </c>
      <c r="N24" s="19">
        <f>SUBTOTAL(109,Tabell_Kalv[Kvartal 4 2024])</f>
        <v>0</v>
      </c>
      <c r="O24" s="19">
        <f>SUBTOTAL(109,Tabell_Kalv[2024])</f>
        <v>2819</v>
      </c>
      <c r="P24" s="20">
        <f>K24/F24-1</f>
        <v>1.420959147424572E-3</v>
      </c>
      <c r="Q24" s="20">
        <f>O24/SUM(F24:F24)-1</f>
        <v>1.420959147424572E-3</v>
      </c>
      <c r="R24" s="20">
        <f>SUBTOTAL(109,Tabell_Kalv[Procentuell andel 2024*])</f>
        <v>1</v>
      </c>
    </row>
    <row r="25" spans="1:18" ht="15" customHeight="1" x14ac:dyDescent="0.35">
      <c r="A25" t="s">
        <v>65</v>
      </c>
    </row>
    <row r="26" spans="1:18" ht="15" customHeight="1" x14ac:dyDescent="0.35">
      <c r="A26" t="s">
        <v>37</v>
      </c>
    </row>
    <row r="27" spans="1:18" ht="15" customHeight="1" x14ac:dyDescent="0.35">
      <c r="A27" t="s">
        <v>66</v>
      </c>
    </row>
    <row r="28" spans="1:18" ht="15" customHeight="1" x14ac:dyDescent="0.35">
      <c r="A28" t="s">
        <v>39</v>
      </c>
    </row>
    <row r="29" spans="1:18" ht="15" customHeight="1" x14ac:dyDescent="0.35"/>
    <row r="30" spans="1:18" ht="15" customHeight="1" x14ac:dyDescent="0.35"/>
    <row r="31" spans="1:18" ht="15" customHeight="1" x14ac:dyDescent="0.35"/>
    <row r="32" spans="1:18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</sheetData>
  <pageMargins left="0.70866141732283472" right="0.31496062992125984" top="0.55118110236220474" bottom="0.74803149606299213" header="0.31496062992125984" footer="0.31496062992125984"/>
  <pageSetup paperSize="9" scale="7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47B0-9766-4D66-85B6-D50B2AD46072}">
  <sheetPr codeName="flFår">
    <pageSetUpPr fitToPage="1"/>
  </sheetPr>
  <dimension ref="A1:R92"/>
  <sheetViews>
    <sheetView workbookViewId="0">
      <selection activeCell="R1" sqref="R1"/>
    </sheetView>
  </sheetViews>
  <sheetFormatPr defaultColWidth="9.1796875" defaultRowHeight="12" x14ac:dyDescent="0.3"/>
  <cols>
    <col min="1" max="1" width="27" style="33" customWidth="1"/>
    <col min="2" max="15" width="8.26953125" style="33" customWidth="1"/>
    <col min="16" max="16" width="9.26953125" style="33" customWidth="1"/>
    <col min="17" max="17" width="10.1796875" style="33" customWidth="1"/>
    <col min="18" max="18" width="10" style="33" customWidth="1"/>
    <col min="19" max="16384" width="9.1796875" style="33"/>
  </cols>
  <sheetData>
    <row r="1" spans="1:18" ht="92.25" customHeight="1" x14ac:dyDescent="0.35">
      <c r="A1" s="1" t="s">
        <v>67</v>
      </c>
      <c r="B1"/>
      <c r="C1" s="1"/>
      <c r="E1"/>
      <c r="F1"/>
      <c r="G1"/>
      <c r="H1"/>
      <c r="I1"/>
      <c r="J1" s="1"/>
      <c r="K1"/>
      <c r="L1"/>
      <c r="M1"/>
      <c r="N1"/>
      <c r="O1"/>
      <c r="P1"/>
      <c r="Q1"/>
      <c r="R1" s="2"/>
    </row>
    <row r="2" spans="1:18" ht="45" customHeight="1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6" t="s">
        <v>16</v>
      </c>
      <c r="Q2" s="6" t="s">
        <v>17</v>
      </c>
      <c r="R2" s="7" t="s">
        <v>18</v>
      </c>
    </row>
    <row r="3" spans="1:18" ht="15" customHeight="1" x14ac:dyDescent="0.3">
      <c r="A3" s="34" t="s">
        <v>68</v>
      </c>
      <c r="B3" s="35">
        <v>3227</v>
      </c>
      <c r="C3" s="35">
        <v>2770</v>
      </c>
      <c r="D3" s="35">
        <v>3087</v>
      </c>
      <c r="E3" s="35">
        <v>2875</v>
      </c>
      <c r="F3" s="36">
        <v>320</v>
      </c>
      <c r="G3" s="36">
        <v>319</v>
      </c>
      <c r="H3" s="36">
        <v>503</v>
      </c>
      <c r="I3" s="36">
        <v>367</v>
      </c>
      <c r="J3" s="35">
        <v>1509</v>
      </c>
      <c r="K3" s="37">
        <v>249</v>
      </c>
      <c r="L3" s="37"/>
      <c r="M3" s="37"/>
      <c r="N3" s="37"/>
      <c r="O3" s="35">
        <v>249</v>
      </c>
      <c r="P3" s="38">
        <v>-0.22187500000000004</v>
      </c>
      <c r="Q3" s="38">
        <v>-0.22187500000000004</v>
      </c>
      <c r="R3" s="39">
        <v>7.3512045347189419E-3</v>
      </c>
    </row>
    <row r="4" spans="1:18" ht="15" customHeight="1" x14ac:dyDescent="0.3">
      <c r="A4" s="34" t="s">
        <v>60</v>
      </c>
      <c r="B4" s="35">
        <v>1952</v>
      </c>
      <c r="C4" s="35">
        <v>2098</v>
      </c>
      <c r="D4" s="35">
        <v>1923</v>
      </c>
      <c r="E4" s="35">
        <v>1715</v>
      </c>
      <c r="F4" s="36">
        <v>525</v>
      </c>
      <c r="G4" s="36">
        <v>207</v>
      </c>
      <c r="H4" s="36">
        <v>398</v>
      </c>
      <c r="I4" s="36">
        <v>724</v>
      </c>
      <c r="J4" s="35">
        <v>1854</v>
      </c>
      <c r="K4" s="37">
        <v>331</v>
      </c>
      <c r="L4" s="37"/>
      <c r="M4" s="37"/>
      <c r="N4" s="37"/>
      <c r="O4" s="35">
        <v>331</v>
      </c>
      <c r="P4" s="38">
        <v>-0.36952380952380948</v>
      </c>
      <c r="Q4" s="38">
        <v>-0.36952380952380948</v>
      </c>
      <c r="R4" s="39">
        <v>9.7720831365139347E-3</v>
      </c>
    </row>
    <row r="5" spans="1:18" ht="15" customHeight="1" x14ac:dyDescent="0.3">
      <c r="A5" s="34" t="s">
        <v>61</v>
      </c>
      <c r="B5" s="35">
        <v>1170</v>
      </c>
      <c r="C5" s="35">
        <v>990</v>
      </c>
      <c r="D5" s="35">
        <v>1234</v>
      </c>
      <c r="E5" s="35">
        <v>1885</v>
      </c>
      <c r="F5" s="36">
        <v>265</v>
      </c>
      <c r="G5" s="36">
        <v>302</v>
      </c>
      <c r="H5" s="36">
        <v>674</v>
      </c>
      <c r="I5" s="36">
        <v>1057</v>
      </c>
      <c r="J5" s="35">
        <v>2298</v>
      </c>
      <c r="K5" s="37">
        <v>287</v>
      </c>
      <c r="L5" s="37"/>
      <c r="M5" s="37"/>
      <c r="N5" s="37"/>
      <c r="O5" s="35">
        <v>287</v>
      </c>
      <c r="P5" s="38">
        <v>8.3018867924528283E-2</v>
      </c>
      <c r="Q5" s="38">
        <v>8.3018867924528283E-2</v>
      </c>
      <c r="R5" s="39">
        <v>8.4730751062824759E-3</v>
      </c>
    </row>
    <row r="6" spans="1:18" ht="15" customHeight="1" x14ac:dyDescent="0.3">
      <c r="A6" s="34" t="s">
        <v>44</v>
      </c>
      <c r="B6" s="35">
        <v>2093</v>
      </c>
      <c r="C6" s="35">
        <v>2152</v>
      </c>
      <c r="D6" s="35">
        <v>4381</v>
      </c>
      <c r="E6" s="35">
        <v>5280</v>
      </c>
      <c r="F6" s="36">
        <v>1154</v>
      </c>
      <c r="G6" s="36">
        <v>826</v>
      </c>
      <c r="H6" s="36">
        <v>1588</v>
      </c>
      <c r="I6" s="36">
        <v>1937</v>
      </c>
      <c r="J6" s="35">
        <v>5505</v>
      </c>
      <c r="K6" s="37">
        <v>1036</v>
      </c>
      <c r="L6" s="37"/>
      <c r="M6" s="37"/>
      <c r="N6" s="37"/>
      <c r="O6" s="35">
        <v>1036</v>
      </c>
      <c r="P6" s="38">
        <v>-0.10225303292894283</v>
      </c>
      <c r="Q6" s="38">
        <v>-0.10225303292894283</v>
      </c>
      <c r="R6" s="39">
        <v>3.0585734529995277E-2</v>
      </c>
    </row>
    <row r="7" spans="1:18" ht="15" customHeight="1" x14ac:dyDescent="0.3">
      <c r="A7" s="34" t="s">
        <v>46</v>
      </c>
      <c r="B7" s="35">
        <v>1254</v>
      </c>
      <c r="C7" s="35">
        <v>1125</v>
      </c>
      <c r="D7" s="35">
        <v>1135</v>
      </c>
      <c r="E7" s="35">
        <v>1107</v>
      </c>
      <c r="F7" s="36">
        <v>162</v>
      </c>
      <c r="G7" s="36">
        <v>296</v>
      </c>
      <c r="H7" s="36">
        <v>315</v>
      </c>
      <c r="I7" s="36">
        <v>262</v>
      </c>
      <c r="J7" s="35">
        <v>1035</v>
      </c>
      <c r="K7" s="37">
        <v>170</v>
      </c>
      <c r="L7" s="37"/>
      <c r="M7" s="37"/>
      <c r="N7" s="37"/>
      <c r="O7" s="35">
        <v>170</v>
      </c>
      <c r="P7" s="38">
        <v>4.9382716049382713E-2</v>
      </c>
      <c r="Q7" s="38">
        <v>4.9382716049382713E-2</v>
      </c>
      <c r="R7" s="39">
        <v>5.018894662257912E-3</v>
      </c>
    </row>
    <row r="8" spans="1:18" ht="15" customHeight="1" x14ac:dyDescent="0.3">
      <c r="A8" s="34" t="s">
        <v>23</v>
      </c>
      <c r="B8" s="35">
        <v>87275</v>
      </c>
      <c r="C8" s="35">
        <v>95301</v>
      </c>
      <c r="D8" s="35">
        <v>87156</v>
      </c>
      <c r="E8" s="35">
        <v>84407</v>
      </c>
      <c r="F8" s="36">
        <v>14398</v>
      </c>
      <c r="G8" s="36">
        <v>19617</v>
      </c>
      <c r="H8" s="36">
        <v>24576</v>
      </c>
      <c r="I8" s="36">
        <v>24401</v>
      </c>
      <c r="J8" s="35">
        <v>82992</v>
      </c>
      <c r="K8" s="37">
        <v>12814</v>
      </c>
      <c r="L8" s="37"/>
      <c r="M8" s="37"/>
      <c r="N8" s="37"/>
      <c r="O8" s="35">
        <v>12814</v>
      </c>
      <c r="P8" s="38">
        <v>-0.11001527989998616</v>
      </c>
      <c r="Q8" s="38">
        <v>-0.11001527989998616</v>
      </c>
      <c r="R8" s="39">
        <v>0.37830656589513462</v>
      </c>
    </row>
    <row r="9" spans="1:18" ht="15" customHeight="1" x14ac:dyDescent="0.3">
      <c r="A9" s="34" t="s">
        <v>24</v>
      </c>
      <c r="B9" s="35">
        <v>6049</v>
      </c>
      <c r="C9" s="35">
        <v>2207</v>
      </c>
      <c r="D9" s="35">
        <v>1017</v>
      </c>
      <c r="E9" s="35">
        <v>1546</v>
      </c>
      <c r="F9" s="36">
        <v>349</v>
      </c>
      <c r="G9" s="36">
        <v>229</v>
      </c>
      <c r="H9" s="36">
        <v>381</v>
      </c>
      <c r="I9" s="36">
        <v>1063</v>
      </c>
      <c r="J9" s="35">
        <v>2022</v>
      </c>
      <c r="K9" s="37">
        <v>287</v>
      </c>
      <c r="L9" s="37"/>
      <c r="M9" s="37"/>
      <c r="N9" s="37"/>
      <c r="O9" s="35">
        <v>287</v>
      </c>
      <c r="P9" s="38">
        <v>-0.17765042979942691</v>
      </c>
      <c r="Q9" s="38">
        <v>-0.17765042979942691</v>
      </c>
      <c r="R9" s="39">
        <v>8.4730751062824759E-3</v>
      </c>
    </row>
    <row r="10" spans="1:18" ht="15" customHeight="1" x14ac:dyDescent="0.3">
      <c r="A10" s="34" t="s">
        <v>47</v>
      </c>
      <c r="B10" s="35">
        <v>1117</v>
      </c>
      <c r="C10" s="35">
        <v>1507</v>
      </c>
      <c r="D10" s="35">
        <v>1716</v>
      </c>
      <c r="E10" s="35">
        <v>1512</v>
      </c>
      <c r="F10" s="36">
        <v>231</v>
      </c>
      <c r="G10" s="36">
        <v>168</v>
      </c>
      <c r="H10" s="36">
        <v>412</v>
      </c>
      <c r="I10" s="36">
        <v>723</v>
      </c>
      <c r="J10" s="35">
        <v>1534</v>
      </c>
      <c r="K10" s="37">
        <v>330</v>
      </c>
      <c r="L10" s="37"/>
      <c r="M10" s="37"/>
      <c r="N10" s="37"/>
      <c r="O10" s="35">
        <v>330</v>
      </c>
      <c r="P10" s="38">
        <v>0.4285714285714286</v>
      </c>
      <c r="Q10" s="38">
        <v>0.4285714285714286</v>
      </c>
      <c r="R10" s="39">
        <v>9.7425602267359468E-3</v>
      </c>
    </row>
    <row r="11" spans="1:18" ht="15" customHeight="1" x14ac:dyDescent="0.3">
      <c r="A11" s="34" t="s">
        <v>26</v>
      </c>
      <c r="B11" s="35">
        <v>23249</v>
      </c>
      <c r="C11" s="35">
        <v>20680</v>
      </c>
      <c r="D11" s="35">
        <v>21982</v>
      </c>
      <c r="E11" s="35">
        <v>33808</v>
      </c>
      <c r="F11" s="36">
        <v>4250</v>
      </c>
      <c r="G11" s="36">
        <v>6352</v>
      </c>
      <c r="H11" s="36">
        <v>8421</v>
      </c>
      <c r="I11" s="36">
        <v>8502</v>
      </c>
      <c r="J11" s="35">
        <v>27525</v>
      </c>
      <c r="K11" s="37">
        <v>3928</v>
      </c>
      <c r="L11" s="37"/>
      <c r="M11" s="37"/>
      <c r="N11" s="37"/>
      <c r="O11" s="35">
        <v>3928</v>
      </c>
      <c r="P11" s="38">
        <v>-7.5764705882352956E-2</v>
      </c>
      <c r="Q11" s="38">
        <v>-7.5764705882352956E-2</v>
      </c>
      <c r="R11" s="39">
        <v>0.11596598960793576</v>
      </c>
    </row>
    <row r="12" spans="1:18" ht="15" customHeight="1" x14ac:dyDescent="0.3">
      <c r="A12" s="34" t="s">
        <v>27</v>
      </c>
      <c r="B12" s="35">
        <v>20300</v>
      </c>
      <c r="C12" s="35">
        <v>11043</v>
      </c>
      <c r="D12" s="35">
        <v>11988</v>
      </c>
      <c r="E12" s="35">
        <v>4730</v>
      </c>
      <c r="F12" s="36">
        <v>2113</v>
      </c>
      <c r="G12" s="36">
        <v>3573</v>
      </c>
      <c r="H12" s="36">
        <v>4751</v>
      </c>
      <c r="I12" s="36">
        <v>4491</v>
      </c>
      <c r="J12" s="35">
        <v>14928</v>
      </c>
      <c r="K12" s="37">
        <v>2851</v>
      </c>
      <c r="L12" s="37"/>
      <c r="M12" s="37"/>
      <c r="N12" s="37"/>
      <c r="O12" s="35">
        <v>2851</v>
      </c>
      <c r="P12" s="38">
        <v>0.34926644581164212</v>
      </c>
      <c r="Q12" s="38">
        <v>0.34926644581164212</v>
      </c>
      <c r="R12" s="39">
        <v>8.4169815777042981E-2</v>
      </c>
    </row>
    <row r="13" spans="1:18" ht="15" customHeight="1" x14ac:dyDescent="0.3">
      <c r="A13" s="34" t="s">
        <v>69</v>
      </c>
      <c r="B13" s="35">
        <v>5362</v>
      </c>
      <c r="C13" s="35">
        <v>5312</v>
      </c>
      <c r="D13" s="35">
        <v>5662</v>
      </c>
      <c r="E13" s="35">
        <v>6303</v>
      </c>
      <c r="F13" s="36">
        <v>808</v>
      </c>
      <c r="G13" s="36">
        <v>690</v>
      </c>
      <c r="H13" s="36">
        <v>1762</v>
      </c>
      <c r="I13" s="36">
        <v>3541</v>
      </c>
      <c r="J13" s="35">
        <v>6801</v>
      </c>
      <c r="K13" s="37">
        <v>744</v>
      </c>
      <c r="L13" s="37"/>
      <c r="M13" s="37"/>
      <c r="N13" s="37"/>
      <c r="O13" s="35">
        <v>744</v>
      </c>
      <c r="P13" s="38">
        <v>-7.9207920792079167E-2</v>
      </c>
      <c r="Q13" s="38">
        <v>-7.9207920792079167E-2</v>
      </c>
      <c r="R13" s="39">
        <v>2.1965044874822863E-2</v>
      </c>
    </row>
    <row r="14" spans="1:18" ht="15" customHeight="1" x14ac:dyDescent="0.3">
      <c r="A14" s="34" t="s">
        <v>70</v>
      </c>
      <c r="B14" s="35">
        <v>3664</v>
      </c>
      <c r="C14" s="35">
        <v>3842</v>
      </c>
      <c r="D14" s="35">
        <v>3621</v>
      </c>
      <c r="E14" s="35">
        <v>3650</v>
      </c>
      <c r="F14" s="36">
        <v>324</v>
      </c>
      <c r="G14" s="36">
        <v>198</v>
      </c>
      <c r="H14" s="36">
        <v>996</v>
      </c>
      <c r="I14" s="36">
        <v>1821</v>
      </c>
      <c r="J14" s="35">
        <v>3339</v>
      </c>
      <c r="K14" s="37">
        <v>205</v>
      </c>
      <c r="L14" s="37"/>
      <c r="M14" s="37"/>
      <c r="N14" s="37"/>
      <c r="O14" s="35">
        <v>205</v>
      </c>
      <c r="P14" s="38">
        <v>-0.36728395061728392</v>
      </c>
      <c r="Q14" s="38">
        <v>-0.36728395061728392</v>
      </c>
      <c r="R14" s="39">
        <v>6.0521965044874823E-3</v>
      </c>
    </row>
    <row r="15" spans="1:18" ht="15" customHeight="1" x14ac:dyDescent="0.3">
      <c r="A15" s="34" t="s">
        <v>49</v>
      </c>
      <c r="B15" s="35">
        <v>3370</v>
      </c>
      <c r="C15" s="35">
        <v>3126</v>
      </c>
      <c r="D15" s="35">
        <v>3102</v>
      </c>
      <c r="E15" s="35">
        <v>3271</v>
      </c>
      <c r="F15" s="36">
        <v>174</v>
      </c>
      <c r="G15" s="36">
        <v>306</v>
      </c>
      <c r="H15" s="36">
        <v>1146</v>
      </c>
      <c r="I15" s="36">
        <v>1406</v>
      </c>
      <c r="J15" s="35">
        <v>3032</v>
      </c>
      <c r="K15" s="37">
        <v>223</v>
      </c>
      <c r="L15" s="37"/>
      <c r="M15" s="37"/>
      <c r="N15" s="37"/>
      <c r="O15" s="35">
        <v>223</v>
      </c>
      <c r="P15" s="38">
        <v>0.28160919540229878</v>
      </c>
      <c r="Q15" s="38">
        <v>0.28160919540229878</v>
      </c>
      <c r="R15" s="39">
        <v>6.583608880491261E-3</v>
      </c>
    </row>
    <row r="16" spans="1:18" ht="15" customHeight="1" x14ac:dyDescent="0.3">
      <c r="A16" s="34" t="s">
        <v>31</v>
      </c>
      <c r="B16" s="35">
        <v>33051</v>
      </c>
      <c r="C16" s="35">
        <v>30838</v>
      </c>
      <c r="D16" s="35">
        <v>29622</v>
      </c>
      <c r="E16" s="35">
        <v>28380</v>
      </c>
      <c r="F16" s="36">
        <v>5479</v>
      </c>
      <c r="G16" s="36">
        <v>7264</v>
      </c>
      <c r="H16" s="36">
        <v>7950</v>
      </c>
      <c r="I16" s="36">
        <v>9568</v>
      </c>
      <c r="J16" s="35">
        <v>30261</v>
      </c>
      <c r="K16" s="37">
        <v>5163</v>
      </c>
      <c r="L16" s="37"/>
      <c r="M16" s="37"/>
      <c r="N16" s="37"/>
      <c r="O16" s="35">
        <v>5163</v>
      </c>
      <c r="P16" s="38">
        <v>-5.7674758167548856E-2</v>
      </c>
      <c r="Q16" s="38">
        <v>-5.7674758167548856E-2</v>
      </c>
      <c r="R16" s="39">
        <v>0.15242678318375058</v>
      </c>
    </row>
    <row r="17" spans="1:18" ht="15" customHeight="1" x14ac:dyDescent="0.3">
      <c r="A17" s="34" t="s">
        <v>32</v>
      </c>
      <c r="B17" s="35">
        <v>3442</v>
      </c>
      <c r="C17" s="35">
        <v>3049</v>
      </c>
      <c r="D17" s="35">
        <v>3443</v>
      </c>
      <c r="E17" s="35">
        <v>3344</v>
      </c>
      <c r="F17" s="36">
        <v>730</v>
      </c>
      <c r="G17" s="36">
        <v>653</v>
      </c>
      <c r="H17" s="36">
        <v>1007</v>
      </c>
      <c r="I17" s="36">
        <v>1051</v>
      </c>
      <c r="J17" s="35">
        <v>3441</v>
      </c>
      <c r="K17" s="37">
        <v>721</v>
      </c>
      <c r="L17" s="37"/>
      <c r="M17" s="37"/>
      <c r="N17" s="37"/>
      <c r="O17" s="35">
        <v>721</v>
      </c>
      <c r="P17" s="38">
        <v>-1.2328767123287676E-2</v>
      </c>
      <c r="Q17" s="38">
        <v>-1.2328767123287676E-2</v>
      </c>
      <c r="R17" s="39">
        <v>2.1286017949929147E-2</v>
      </c>
    </row>
    <row r="18" spans="1:18" ht="15" customHeight="1" x14ac:dyDescent="0.3">
      <c r="A18" s="34" t="s">
        <v>53</v>
      </c>
      <c r="B18" s="35">
        <v>2461</v>
      </c>
      <c r="C18" s="35">
        <v>2274</v>
      </c>
      <c r="D18" s="35">
        <v>2344</v>
      </c>
      <c r="E18" s="35">
        <v>2966</v>
      </c>
      <c r="F18" s="36">
        <v>315</v>
      </c>
      <c r="G18" s="36">
        <v>299</v>
      </c>
      <c r="H18" s="36">
        <v>1058</v>
      </c>
      <c r="I18" s="36">
        <v>2038</v>
      </c>
      <c r="J18" s="35">
        <v>3710</v>
      </c>
      <c r="K18" s="37">
        <v>388</v>
      </c>
      <c r="L18" s="37"/>
      <c r="M18" s="37"/>
      <c r="N18" s="37"/>
      <c r="O18" s="35">
        <v>388</v>
      </c>
      <c r="P18" s="38">
        <v>0.23174603174603181</v>
      </c>
      <c r="Q18" s="38">
        <v>0.23174603174603181</v>
      </c>
      <c r="R18" s="39">
        <v>1.1454888993859234E-2</v>
      </c>
    </row>
    <row r="19" spans="1:18" ht="15" customHeight="1" x14ac:dyDescent="0.3">
      <c r="A19" s="34" t="s">
        <v>71</v>
      </c>
      <c r="B19" s="35">
        <v>10512</v>
      </c>
      <c r="C19" s="35">
        <v>10399</v>
      </c>
      <c r="D19" s="35">
        <v>9746</v>
      </c>
      <c r="E19" s="35">
        <v>8704</v>
      </c>
      <c r="F19" s="36">
        <v>1709</v>
      </c>
      <c r="G19" s="36">
        <v>1021</v>
      </c>
      <c r="H19" s="36">
        <v>2596</v>
      </c>
      <c r="I19" s="36">
        <v>2937</v>
      </c>
      <c r="J19" s="35">
        <v>8263</v>
      </c>
      <c r="K19" s="37">
        <v>1363</v>
      </c>
      <c r="L19" s="37"/>
      <c r="M19" s="37"/>
      <c r="N19" s="37"/>
      <c r="O19" s="35">
        <v>1363</v>
      </c>
      <c r="P19" s="38">
        <v>-0.20245757753071969</v>
      </c>
      <c r="Q19" s="38">
        <v>-0.20245757753071969</v>
      </c>
      <c r="R19" s="39">
        <v>4.0239726027397262E-2</v>
      </c>
    </row>
    <row r="20" spans="1:18" ht="15" customHeight="1" x14ac:dyDescent="0.3">
      <c r="A20" s="34" t="s">
        <v>54</v>
      </c>
      <c r="B20" s="35">
        <v>916</v>
      </c>
      <c r="C20" s="35">
        <v>949</v>
      </c>
      <c r="D20" s="35">
        <v>1133</v>
      </c>
      <c r="E20" s="35">
        <v>1019</v>
      </c>
      <c r="F20" s="36">
        <v>157</v>
      </c>
      <c r="G20" s="36">
        <v>109</v>
      </c>
      <c r="H20" s="36">
        <v>404</v>
      </c>
      <c r="I20" s="36">
        <v>447</v>
      </c>
      <c r="J20" s="35">
        <v>1117</v>
      </c>
      <c r="K20" s="37">
        <v>222</v>
      </c>
      <c r="L20" s="37"/>
      <c r="M20" s="37"/>
      <c r="N20" s="37"/>
      <c r="O20" s="35">
        <v>222</v>
      </c>
      <c r="P20" s="38">
        <v>0.41401273885350309</v>
      </c>
      <c r="Q20" s="38">
        <v>0.41401273885350309</v>
      </c>
      <c r="R20" s="39">
        <v>6.5540859707132731E-3</v>
      </c>
    </row>
    <row r="21" spans="1:18" ht="15" customHeight="1" x14ac:dyDescent="0.3">
      <c r="A21" s="34" t="s">
        <v>72</v>
      </c>
      <c r="B21" s="35">
        <v>2054</v>
      </c>
      <c r="C21" s="35">
        <v>2068</v>
      </c>
      <c r="D21" s="35">
        <v>2178</v>
      </c>
      <c r="E21" s="35">
        <v>2468</v>
      </c>
      <c r="F21" s="36">
        <v>225</v>
      </c>
      <c r="G21" s="36"/>
      <c r="H21" s="36"/>
      <c r="I21" s="36">
        <v>62</v>
      </c>
      <c r="J21" s="35">
        <v>287</v>
      </c>
      <c r="K21" s="37">
        <v>95</v>
      </c>
      <c r="L21" s="37"/>
      <c r="M21" s="37"/>
      <c r="N21" s="37"/>
      <c r="O21" s="35">
        <v>95</v>
      </c>
      <c r="P21" s="38">
        <v>-0.57777777777777772</v>
      </c>
      <c r="Q21" s="38">
        <v>-0.57777777777777772</v>
      </c>
      <c r="R21" s="39">
        <v>2.8046764289088332E-3</v>
      </c>
    </row>
    <row r="22" spans="1:18" ht="15" customHeight="1" x14ac:dyDescent="0.3">
      <c r="A22" s="34" t="s">
        <v>73</v>
      </c>
      <c r="B22" s="35">
        <v>923</v>
      </c>
      <c r="C22" s="35">
        <v>1147</v>
      </c>
      <c r="D22" s="35">
        <v>1197</v>
      </c>
      <c r="E22" s="35">
        <v>1186</v>
      </c>
      <c r="F22" s="36">
        <v>141</v>
      </c>
      <c r="G22" s="36">
        <v>42</v>
      </c>
      <c r="H22" s="36">
        <v>244</v>
      </c>
      <c r="I22" s="36">
        <v>573</v>
      </c>
      <c r="J22" s="35">
        <v>1000</v>
      </c>
      <c r="K22" s="37">
        <v>160</v>
      </c>
      <c r="L22" s="37"/>
      <c r="M22" s="37"/>
      <c r="N22" s="37"/>
      <c r="O22" s="35">
        <v>160</v>
      </c>
      <c r="P22" s="38">
        <v>0.13475177304964547</v>
      </c>
      <c r="Q22" s="38">
        <v>0.13475177304964547</v>
      </c>
      <c r="R22" s="39">
        <v>4.7236655644780348E-3</v>
      </c>
    </row>
    <row r="23" spans="1:18" ht="15" customHeight="1" x14ac:dyDescent="0.3">
      <c r="A23" s="34" t="s">
        <v>64</v>
      </c>
      <c r="B23" s="35">
        <v>1320</v>
      </c>
      <c r="C23" s="35">
        <v>1567</v>
      </c>
      <c r="D23" s="35">
        <v>1425</v>
      </c>
      <c r="E23" s="35">
        <v>1174</v>
      </c>
      <c r="F23" s="36">
        <v>162</v>
      </c>
      <c r="G23" s="36">
        <v>34</v>
      </c>
      <c r="H23" s="36">
        <v>350</v>
      </c>
      <c r="I23" s="36">
        <v>698</v>
      </c>
      <c r="J23" s="35">
        <v>1244</v>
      </c>
      <c r="K23" s="37">
        <v>111</v>
      </c>
      <c r="L23" s="37"/>
      <c r="M23" s="37"/>
      <c r="N23" s="37"/>
      <c r="O23" s="35">
        <v>111</v>
      </c>
      <c r="P23" s="38">
        <v>-0.31481481481481477</v>
      </c>
      <c r="Q23" s="38">
        <v>-0.31481481481481477</v>
      </c>
      <c r="R23" s="39">
        <v>3.2770429853566365E-3</v>
      </c>
    </row>
    <row r="24" spans="1:18" ht="15" customHeight="1" x14ac:dyDescent="0.3">
      <c r="A24" s="34" t="s">
        <v>55</v>
      </c>
      <c r="B24" s="35">
        <v>1574</v>
      </c>
      <c r="C24" s="35">
        <v>1531</v>
      </c>
      <c r="D24" s="35">
        <v>1396</v>
      </c>
      <c r="E24" s="35">
        <v>1047</v>
      </c>
      <c r="F24" s="36">
        <v>117</v>
      </c>
      <c r="G24" s="36">
        <v>65</v>
      </c>
      <c r="H24" s="36">
        <v>341</v>
      </c>
      <c r="I24" s="36">
        <v>517</v>
      </c>
      <c r="J24" s="35">
        <v>1040</v>
      </c>
      <c r="K24" s="37">
        <v>121</v>
      </c>
      <c r="L24" s="37"/>
      <c r="M24" s="37"/>
      <c r="N24" s="37"/>
      <c r="O24" s="35">
        <v>121</v>
      </c>
      <c r="P24" s="38">
        <v>3.4188034188034289E-2</v>
      </c>
      <c r="Q24" s="38">
        <v>3.4188034188034289E-2</v>
      </c>
      <c r="R24" s="39">
        <v>3.5722720831365138E-3</v>
      </c>
    </row>
    <row r="25" spans="1:18" ht="15" customHeight="1" x14ac:dyDescent="0.3">
      <c r="A25" s="34" t="s">
        <v>74</v>
      </c>
      <c r="B25" s="35">
        <v>1155</v>
      </c>
      <c r="C25" s="35">
        <v>1286</v>
      </c>
      <c r="D25" s="35">
        <v>1410</v>
      </c>
      <c r="E25" s="35">
        <v>1457</v>
      </c>
      <c r="F25" s="36">
        <v>168</v>
      </c>
      <c r="G25" s="36">
        <v>153</v>
      </c>
      <c r="H25" s="36">
        <v>503</v>
      </c>
      <c r="I25" s="36">
        <v>813</v>
      </c>
      <c r="J25" s="35">
        <v>1637</v>
      </c>
      <c r="K25" s="37">
        <v>157</v>
      </c>
      <c r="L25" s="37"/>
      <c r="M25" s="37"/>
      <c r="N25" s="37"/>
      <c r="O25" s="35">
        <v>157</v>
      </c>
      <c r="P25" s="38">
        <v>-6.5476190476190466E-2</v>
      </c>
      <c r="Q25" s="38">
        <v>-6.5476190476190466E-2</v>
      </c>
      <c r="R25" s="39">
        <v>4.635096835144072E-3</v>
      </c>
    </row>
    <row r="26" spans="1:18" ht="15" customHeight="1" x14ac:dyDescent="0.3">
      <c r="A26" s="34" t="s">
        <v>75</v>
      </c>
      <c r="B26" s="35">
        <v>1073</v>
      </c>
      <c r="C26" s="35">
        <v>1186</v>
      </c>
      <c r="D26" s="35">
        <v>1062</v>
      </c>
      <c r="E26" s="35">
        <v>952</v>
      </c>
      <c r="F26" s="36">
        <v>167</v>
      </c>
      <c r="G26" s="36">
        <v>111</v>
      </c>
      <c r="H26" s="36">
        <v>231</v>
      </c>
      <c r="I26" s="36">
        <v>394</v>
      </c>
      <c r="J26" s="35">
        <v>903</v>
      </c>
      <c r="K26" s="37">
        <v>99</v>
      </c>
      <c r="L26" s="37"/>
      <c r="M26" s="37"/>
      <c r="N26" s="37"/>
      <c r="O26" s="35">
        <v>99</v>
      </c>
      <c r="P26" s="38">
        <v>-0.40718562874251496</v>
      </c>
      <c r="Q26" s="38">
        <v>-0.40718562874251496</v>
      </c>
      <c r="R26" s="39">
        <v>2.922768068020784E-3</v>
      </c>
    </row>
    <row r="27" spans="1:18" ht="15" customHeight="1" x14ac:dyDescent="0.3">
      <c r="A27" s="34" t="s">
        <v>76</v>
      </c>
      <c r="B27" s="35">
        <v>3430</v>
      </c>
      <c r="C27" s="35">
        <v>4342</v>
      </c>
      <c r="D27" s="35">
        <v>4327</v>
      </c>
      <c r="E27" s="35">
        <v>3950</v>
      </c>
      <c r="F27" s="36">
        <v>497</v>
      </c>
      <c r="G27" s="36">
        <v>462</v>
      </c>
      <c r="H27" s="36">
        <v>1096</v>
      </c>
      <c r="I27" s="36">
        <v>1914</v>
      </c>
      <c r="J27" s="35">
        <v>3969</v>
      </c>
      <c r="K27" s="37">
        <v>406</v>
      </c>
      <c r="L27" s="37"/>
      <c r="M27" s="37"/>
      <c r="N27" s="37"/>
      <c r="O27" s="35">
        <v>406</v>
      </c>
      <c r="P27" s="38">
        <v>-0.18309859154929575</v>
      </c>
      <c r="Q27" s="38">
        <v>-0.18309859154929575</v>
      </c>
      <c r="R27" s="39">
        <v>1.1986301369863013E-2</v>
      </c>
    </row>
    <row r="28" spans="1:18" ht="15" customHeight="1" x14ac:dyDescent="0.3">
      <c r="A28" s="34" t="s">
        <v>34</v>
      </c>
      <c r="B28" s="35">
        <v>29715</v>
      </c>
      <c r="C28" s="35">
        <v>27728</v>
      </c>
      <c r="D28" s="35">
        <v>22833</v>
      </c>
      <c r="E28" s="35">
        <v>20086</v>
      </c>
      <c r="F28" s="36">
        <v>2194</v>
      </c>
      <c r="G28" s="36">
        <v>1753</v>
      </c>
      <c r="H28" s="36">
        <v>4822</v>
      </c>
      <c r="I28" s="36">
        <v>8845</v>
      </c>
      <c r="J28" s="35">
        <v>17614</v>
      </c>
      <c r="K28" s="37">
        <v>1411</v>
      </c>
      <c r="L28" s="37"/>
      <c r="M28" s="37"/>
      <c r="N28" s="37"/>
      <c r="O28" s="35">
        <v>1411</v>
      </c>
      <c r="P28" s="38">
        <v>-0.35688240656335457</v>
      </c>
      <c r="Q28" s="38">
        <v>-0.35688240656335457</v>
      </c>
      <c r="R28" s="39">
        <v>4.1656825696740674E-2</v>
      </c>
    </row>
    <row r="29" spans="1:18" ht="15" customHeight="1" x14ac:dyDescent="0.35">
      <c r="A29" t="s">
        <v>35</v>
      </c>
      <c r="B29" s="19">
        <f>SUBTOTAL(109,Tabell_Får[2019])</f>
        <v>251708</v>
      </c>
      <c r="C29" s="19">
        <f>SUBTOTAL(109,Tabell_Får[2020])</f>
        <v>240517</v>
      </c>
      <c r="D29" s="19">
        <f>SUBTOTAL(109,Tabell_Får[2021])</f>
        <v>230120</v>
      </c>
      <c r="E29" s="19">
        <f>SUBTOTAL(109,Tabell_Får[2022])</f>
        <v>228822</v>
      </c>
      <c r="F29" s="19">
        <f>SUBTOTAL(109,Tabell_Får[Kvartal 1 2023])</f>
        <v>37134</v>
      </c>
      <c r="G29" s="19">
        <f>SUBTOTAL(109,Tabell_Får[Kvartal 2 2023])</f>
        <v>45049</v>
      </c>
      <c r="H29" s="19">
        <f>SUBTOTAL(109,Tabell_Får[Kvartal 3 2023])</f>
        <v>66525</v>
      </c>
      <c r="I29" s="19">
        <f>SUBTOTAL(109,Tabell_Får[Kvartal 4 2023])</f>
        <v>80152</v>
      </c>
      <c r="J29" s="19">
        <f>SUBTOTAL(109,Tabell_Får[2023])</f>
        <v>228860</v>
      </c>
      <c r="K29" s="19">
        <f>SUBTOTAL(109,Tabell_Får[Kvartal 1 2024])</f>
        <v>33872</v>
      </c>
      <c r="L29" s="19">
        <f>SUBTOTAL(109,Tabell_Får[Kvartal 2 2024])</f>
        <v>0</v>
      </c>
      <c r="M29" s="19">
        <f>SUBTOTAL(109,Tabell_Får[Kvartal 3 2024])</f>
        <v>0</v>
      </c>
      <c r="N29" s="19">
        <f>SUBTOTAL(109,Tabell_Får[Kvartal 4 2024])</f>
        <v>0</v>
      </c>
      <c r="O29" s="19">
        <f>SUBTOTAL(109,Tabell_Får[2024])</f>
        <v>33872</v>
      </c>
      <c r="P29" s="20">
        <f>K29/F29-1</f>
        <v>-8.7844024344266747E-2</v>
      </c>
      <c r="Q29" s="20">
        <f>O29/SUM(F29:F29)-1</f>
        <v>-8.7844024344266747E-2</v>
      </c>
      <c r="R29" s="20">
        <f>SUBTOTAL(109,Tabell_Får[Procentuell andel 2024*])</f>
        <v>0.99999999999999989</v>
      </c>
    </row>
    <row r="30" spans="1:18" ht="15" customHeight="1" x14ac:dyDescent="0.3">
      <c r="A30" s="33" t="s">
        <v>77</v>
      </c>
    </row>
    <row r="31" spans="1:18" ht="15" customHeight="1" x14ac:dyDescent="0.3">
      <c r="A31" s="33" t="s">
        <v>37</v>
      </c>
    </row>
    <row r="32" spans="1:18" ht="15" customHeight="1" x14ac:dyDescent="0.3">
      <c r="A32" s="33" t="s">
        <v>78</v>
      </c>
    </row>
    <row r="33" spans="1:1" ht="15" customHeight="1" x14ac:dyDescent="0.3">
      <c r="A33" s="33" t="s">
        <v>39</v>
      </c>
    </row>
    <row r="34" spans="1:1" ht="15" customHeight="1" x14ac:dyDescent="0.3"/>
    <row r="35" spans="1:1" ht="15" customHeight="1" x14ac:dyDescent="0.3"/>
    <row r="36" spans="1:1" ht="15" customHeight="1" x14ac:dyDescent="0.3"/>
    <row r="37" spans="1:1" ht="15" customHeight="1" x14ac:dyDescent="0.3"/>
    <row r="38" spans="1:1" ht="15" customHeight="1" x14ac:dyDescent="0.3"/>
    <row r="39" spans="1:1" ht="15" customHeight="1" x14ac:dyDescent="0.3"/>
    <row r="40" spans="1:1" ht="15" customHeight="1" x14ac:dyDescent="0.3"/>
    <row r="41" spans="1:1" ht="15" customHeight="1" x14ac:dyDescent="0.3"/>
    <row r="42" spans="1:1" ht="15" customHeight="1" x14ac:dyDescent="0.3"/>
    <row r="43" spans="1:1" ht="15" customHeight="1" x14ac:dyDescent="0.3"/>
    <row r="44" spans="1:1" ht="15" customHeight="1" x14ac:dyDescent="0.3"/>
    <row r="45" spans="1:1" ht="15" customHeight="1" x14ac:dyDescent="0.3"/>
    <row r="46" spans="1:1" ht="15" customHeight="1" x14ac:dyDescent="0.3"/>
    <row r="47" spans="1:1" ht="15" customHeight="1" x14ac:dyDescent="0.3"/>
    <row r="48" spans="1:1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</sheetData>
  <dataConsolidate/>
  <pageMargins left="0.70866141732283472" right="0.31496062992125984" top="0.55118110236220474" bottom="0.74803149606299213" header="0.31496062992125984" footer="0.31496062992125984"/>
  <pageSetup paperSize="9" scale="78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E07-94E5-4654-BD25-13D60D67DC32}">
  <sheetPr codeName="flHäst">
    <pageSetUpPr fitToPage="1"/>
  </sheetPr>
  <dimension ref="A1:R92"/>
  <sheetViews>
    <sheetView workbookViewId="0">
      <selection activeCell="R1" sqref="R1"/>
    </sheetView>
  </sheetViews>
  <sheetFormatPr defaultColWidth="9.1796875" defaultRowHeight="12" x14ac:dyDescent="0.3"/>
  <cols>
    <col min="1" max="1" width="27" style="33" customWidth="1"/>
    <col min="2" max="15" width="8.26953125" style="33" customWidth="1"/>
    <col min="16" max="16" width="9.26953125" style="33" customWidth="1"/>
    <col min="17" max="17" width="10.1796875" style="33" customWidth="1"/>
    <col min="18" max="18" width="10" style="33" customWidth="1"/>
    <col min="19" max="16384" width="9.1796875" style="33"/>
  </cols>
  <sheetData>
    <row r="1" spans="1:18" ht="92.25" customHeight="1" x14ac:dyDescent="0.35">
      <c r="A1" s="1" t="s">
        <v>79</v>
      </c>
      <c r="B1"/>
      <c r="C1" s="1"/>
      <c r="E1"/>
      <c r="F1"/>
      <c r="G1"/>
      <c r="H1"/>
      <c r="I1"/>
      <c r="J1" s="1"/>
      <c r="K1"/>
      <c r="L1"/>
      <c r="M1"/>
      <c r="N1"/>
      <c r="O1"/>
      <c r="P1"/>
      <c r="Q1"/>
      <c r="R1" s="2"/>
    </row>
    <row r="2" spans="1:18" ht="45" customHeight="1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6" t="s">
        <v>16</v>
      </c>
      <c r="Q2" s="6" t="s">
        <v>17</v>
      </c>
      <c r="R2" s="7" t="s">
        <v>18</v>
      </c>
    </row>
    <row r="3" spans="1:18" ht="15" customHeight="1" x14ac:dyDescent="0.3">
      <c r="A3" s="34" t="s">
        <v>61</v>
      </c>
      <c r="B3" s="35">
        <v>191</v>
      </c>
      <c r="C3" s="35">
        <v>128</v>
      </c>
      <c r="D3" s="35">
        <v>147</v>
      </c>
      <c r="E3" s="35">
        <v>181</v>
      </c>
      <c r="F3" s="36">
        <v>59</v>
      </c>
      <c r="G3" s="36">
        <v>61</v>
      </c>
      <c r="H3" s="36">
        <v>50</v>
      </c>
      <c r="I3" s="36">
        <v>60</v>
      </c>
      <c r="J3" s="35">
        <v>230</v>
      </c>
      <c r="K3" s="37">
        <v>47</v>
      </c>
      <c r="L3" s="37"/>
      <c r="M3" s="37"/>
      <c r="N3" s="37"/>
      <c r="O3" s="35">
        <v>47</v>
      </c>
      <c r="P3" s="38">
        <v>-0.20338983050847459</v>
      </c>
      <c r="Q3" s="38">
        <v>-0.20338983050847459</v>
      </c>
      <c r="R3" s="39">
        <v>0.1540983606557377</v>
      </c>
    </row>
    <row r="4" spans="1:18" ht="15" customHeight="1" x14ac:dyDescent="0.3">
      <c r="A4" s="34" t="s">
        <v>46</v>
      </c>
      <c r="B4" s="35">
        <v>117</v>
      </c>
      <c r="C4" s="35">
        <v>116</v>
      </c>
      <c r="D4" s="35">
        <v>105</v>
      </c>
      <c r="E4" s="35">
        <v>112</v>
      </c>
      <c r="F4" s="36">
        <v>27</v>
      </c>
      <c r="G4" s="36">
        <v>14</v>
      </c>
      <c r="H4" s="36">
        <v>33</v>
      </c>
      <c r="I4" s="36">
        <v>38</v>
      </c>
      <c r="J4" s="35">
        <v>112</v>
      </c>
      <c r="K4" s="37">
        <v>19</v>
      </c>
      <c r="L4" s="37"/>
      <c r="M4" s="37"/>
      <c r="N4" s="37"/>
      <c r="O4" s="35">
        <v>19</v>
      </c>
      <c r="P4" s="38">
        <v>-0.29629629629629628</v>
      </c>
      <c r="Q4" s="38">
        <v>-0.29629629629629628</v>
      </c>
      <c r="R4" s="39">
        <v>6.2295081967213117E-2</v>
      </c>
    </row>
    <row r="5" spans="1:18" ht="15" customHeight="1" x14ac:dyDescent="0.3">
      <c r="A5" s="34" t="s">
        <v>49</v>
      </c>
      <c r="B5" s="35">
        <v>57</v>
      </c>
      <c r="C5" s="35">
        <v>37</v>
      </c>
      <c r="D5" s="35">
        <v>50</v>
      </c>
      <c r="E5" s="35">
        <v>37</v>
      </c>
      <c r="F5" s="36">
        <v>11</v>
      </c>
      <c r="G5" s="36">
        <v>6</v>
      </c>
      <c r="H5" s="36">
        <v>10</v>
      </c>
      <c r="I5" s="36">
        <v>5</v>
      </c>
      <c r="J5" s="35">
        <v>32</v>
      </c>
      <c r="K5" s="37">
        <v>10</v>
      </c>
      <c r="L5" s="37"/>
      <c r="M5" s="37"/>
      <c r="N5" s="37"/>
      <c r="O5" s="35">
        <v>10</v>
      </c>
      <c r="P5" s="38">
        <v>-9.0909090909090939E-2</v>
      </c>
      <c r="Q5" s="38">
        <v>-9.0909090909090939E-2</v>
      </c>
      <c r="R5" s="39">
        <v>3.2786885245901641E-2</v>
      </c>
    </row>
    <row r="6" spans="1:18" ht="15" customHeight="1" x14ac:dyDescent="0.3">
      <c r="A6" s="34" t="s">
        <v>50</v>
      </c>
      <c r="B6" s="35">
        <v>94</v>
      </c>
      <c r="C6" s="35">
        <v>78</v>
      </c>
      <c r="D6" s="35">
        <v>60</v>
      </c>
      <c r="E6" s="35">
        <v>73</v>
      </c>
      <c r="F6" s="36">
        <v>10</v>
      </c>
      <c r="G6" s="36">
        <v>17</v>
      </c>
      <c r="H6" s="36">
        <v>24</v>
      </c>
      <c r="I6" s="36">
        <v>27</v>
      </c>
      <c r="J6" s="35">
        <v>78</v>
      </c>
      <c r="K6" s="37">
        <v>21</v>
      </c>
      <c r="L6" s="37"/>
      <c r="M6" s="37"/>
      <c r="N6" s="37"/>
      <c r="O6" s="35">
        <v>21</v>
      </c>
      <c r="P6" s="38">
        <v>1.1000000000000001</v>
      </c>
      <c r="Q6" s="38">
        <v>1.1000000000000001</v>
      </c>
      <c r="R6" s="39">
        <v>6.8852459016393447E-2</v>
      </c>
    </row>
    <row r="7" spans="1:18" ht="15" customHeight="1" x14ac:dyDescent="0.3">
      <c r="A7" s="34" t="s">
        <v>51</v>
      </c>
      <c r="B7" s="35">
        <v>347</v>
      </c>
      <c r="C7" s="35">
        <v>263</v>
      </c>
      <c r="D7" s="35">
        <v>191</v>
      </c>
      <c r="E7" s="35">
        <v>229</v>
      </c>
      <c r="F7" s="36">
        <v>65</v>
      </c>
      <c r="G7" s="36">
        <v>40</v>
      </c>
      <c r="H7" s="36">
        <v>68</v>
      </c>
      <c r="I7" s="36">
        <v>125</v>
      </c>
      <c r="J7" s="35">
        <v>298</v>
      </c>
      <c r="K7" s="37">
        <v>86</v>
      </c>
      <c r="L7" s="37"/>
      <c r="M7" s="37"/>
      <c r="N7" s="37"/>
      <c r="O7" s="35">
        <v>86</v>
      </c>
      <c r="P7" s="38">
        <v>0.32307692307692304</v>
      </c>
      <c r="Q7" s="38">
        <v>0.32307692307692304</v>
      </c>
      <c r="R7" s="39">
        <v>0.28196721311475409</v>
      </c>
    </row>
    <row r="8" spans="1:18" ht="15" customHeight="1" x14ac:dyDescent="0.3">
      <c r="A8" s="34" t="s">
        <v>32</v>
      </c>
      <c r="B8" s="35">
        <v>14</v>
      </c>
      <c r="C8" s="35">
        <v>21</v>
      </c>
      <c r="D8" s="35">
        <v>18</v>
      </c>
      <c r="E8" s="35">
        <v>15</v>
      </c>
      <c r="F8" s="36">
        <v>11</v>
      </c>
      <c r="G8" s="36">
        <v>9</v>
      </c>
      <c r="H8" s="36">
        <v>7</v>
      </c>
      <c r="I8" s="36">
        <v>6</v>
      </c>
      <c r="J8" s="35">
        <v>33</v>
      </c>
      <c r="K8" s="37">
        <v>11</v>
      </c>
      <c r="L8" s="37"/>
      <c r="M8" s="37"/>
      <c r="N8" s="37"/>
      <c r="O8" s="35">
        <v>11</v>
      </c>
      <c r="P8" s="38">
        <v>0</v>
      </c>
      <c r="Q8" s="38">
        <v>0</v>
      </c>
      <c r="R8" s="39">
        <v>3.6065573770491806E-2</v>
      </c>
    </row>
    <row r="9" spans="1:18" ht="15" customHeight="1" x14ac:dyDescent="0.3">
      <c r="A9" s="34" t="s">
        <v>54</v>
      </c>
      <c r="B9" s="35">
        <v>65</v>
      </c>
      <c r="C9" s="35">
        <v>56</v>
      </c>
      <c r="D9" s="35">
        <v>30</v>
      </c>
      <c r="E9" s="35">
        <v>72</v>
      </c>
      <c r="F9" s="36">
        <v>22</v>
      </c>
      <c r="G9" s="36">
        <v>14</v>
      </c>
      <c r="H9" s="36">
        <v>21</v>
      </c>
      <c r="I9" s="36">
        <v>51</v>
      </c>
      <c r="J9" s="35">
        <v>108</v>
      </c>
      <c r="K9" s="37">
        <v>28</v>
      </c>
      <c r="L9" s="37"/>
      <c r="M9" s="37"/>
      <c r="N9" s="37"/>
      <c r="O9" s="35">
        <v>28</v>
      </c>
      <c r="P9" s="38">
        <v>0.27272727272727271</v>
      </c>
      <c r="Q9" s="38">
        <v>0.27272727272727271</v>
      </c>
      <c r="R9" s="39">
        <v>9.1803278688524587E-2</v>
      </c>
    </row>
    <row r="10" spans="1:18" ht="15" customHeight="1" x14ac:dyDescent="0.3">
      <c r="A10" s="34" t="s">
        <v>74</v>
      </c>
      <c r="B10" s="35">
        <v>32</v>
      </c>
      <c r="C10" s="35">
        <v>19</v>
      </c>
      <c r="D10" s="35">
        <v>23</v>
      </c>
      <c r="E10" s="35">
        <v>24</v>
      </c>
      <c r="F10" s="36">
        <v>5</v>
      </c>
      <c r="G10" s="36">
        <v>5</v>
      </c>
      <c r="H10" s="36">
        <v>9</v>
      </c>
      <c r="I10" s="36">
        <v>8</v>
      </c>
      <c r="J10" s="35">
        <v>27</v>
      </c>
      <c r="K10" s="37">
        <v>11</v>
      </c>
      <c r="L10" s="37"/>
      <c r="M10" s="37"/>
      <c r="N10" s="37"/>
      <c r="O10" s="35">
        <v>11</v>
      </c>
      <c r="P10" s="38">
        <v>1.2000000000000002</v>
      </c>
      <c r="Q10" s="38">
        <v>1.2000000000000002</v>
      </c>
      <c r="R10" s="39">
        <v>3.6065573770491806E-2</v>
      </c>
    </row>
    <row r="11" spans="1:18" ht="15" customHeight="1" x14ac:dyDescent="0.3">
      <c r="A11" s="34" t="s">
        <v>34</v>
      </c>
      <c r="B11" s="35">
        <v>795</v>
      </c>
      <c r="C11" s="35">
        <v>695</v>
      </c>
      <c r="D11" s="35">
        <v>412</v>
      </c>
      <c r="E11" s="35">
        <v>300</v>
      </c>
      <c r="F11" s="36">
        <v>36</v>
      </c>
      <c r="G11" s="36">
        <v>25</v>
      </c>
      <c r="H11" s="36">
        <v>23</v>
      </c>
      <c r="I11" s="36">
        <v>28</v>
      </c>
      <c r="J11" s="35">
        <v>112</v>
      </c>
      <c r="K11" s="37">
        <v>72</v>
      </c>
      <c r="L11" s="37"/>
      <c r="M11" s="37"/>
      <c r="N11" s="37"/>
      <c r="O11" s="35">
        <v>72</v>
      </c>
      <c r="P11" s="38">
        <v>1</v>
      </c>
      <c r="Q11" s="38">
        <v>1</v>
      </c>
      <c r="R11" s="39">
        <v>0.23606557377049181</v>
      </c>
    </row>
    <row r="12" spans="1:18" ht="15" customHeight="1" x14ac:dyDescent="0.35">
      <c r="A12" t="s">
        <v>35</v>
      </c>
      <c r="B12" s="19">
        <f>SUBTOTAL(109,Tabell_Häst[2019])</f>
        <v>1712</v>
      </c>
      <c r="C12" s="19">
        <f>SUBTOTAL(109,Tabell_Häst[2020])</f>
        <v>1413</v>
      </c>
      <c r="D12" s="19">
        <f>SUBTOTAL(109,Tabell_Häst[2021])</f>
        <v>1036</v>
      </c>
      <c r="E12" s="19">
        <f>SUBTOTAL(109,Tabell_Häst[2022])</f>
        <v>1043</v>
      </c>
      <c r="F12" s="19">
        <f>SUBTOTAL(109,Tabell_Häst[Kvartal 1 2023])</f>
        <v>246</v>
      </c>
      <c r="G12" s="19">
        <f>SUBTOTAL(109,Tabell_Häst[Kvartal 2 2023])</f>
        <v>191</v>
      </c>
      <c r="H12" s="19">
        <f>SUBTOTAL(109,Tabell_Häst[Kvartal 3 2023])</f>
        <v>245</v>
      </c>
      <c r="I12" s="19">
        <f>SUBTOTAL(109,Tabell_Häst[Kvartal 4 2023])</f>
        <v>348</v>
      </c>
      <c r="J12" s="19">
        <f>SUBTOTAL(109,Tabell_Häst[2023])</f>
        <v>1030</v>
      </c>
      <c r="K12" s="19">
        <f>SUBTOTAL(109,Tabell_Häst[Kvartal 1 2024])</f>
        <v>305</v>
      </c>
      <c r="L12" s="19">
        <f>SUBTOTAL(109,Tabell_Häst[Kvartal 2 2024])</f>
        <v>0</v>
      </c>
      <c r="M12" s="19">
        <f>SUBTOTAL(109,Tabell_Häst[Kvartal 3 2024])</f>
        <v>0</v>
      </c>
      <c r="N12" s="19">
        <f>SUBTOTAL(109,Tabell_Häst[Kvartal 4 2024])</f>
        <v>0</v>
      </c>
      <c r="O12" s="19">
        <f>SUBTOTAL(109,Tabell_Häst[2024])</f>
        <v>305</v>
      </c>
      <c r="P12" s="20">
        <f>K12/F12-1</f>
        <v>0.23983739837398366</v>
      </c>
      <c r="Q12" s="20">
        <f>O12/SUM(F12:F12)-1</f>
        <v>0.23983739837398366</v>
      </c>
      <c r="R12" s="20">
        <f>SUBTOTAL(109,Tabell_Häst[Procentuell andel 2024*])</f>
        <v>1</v>
      </c>
    </row>
    <row r="13" spans="1:18" ht="15" customHeight="1" x14ac:dyDescent="0.3">
      <c r="A13" s="33" t="s">
        <v>80</v>
      </c>
    </row>
    <row r="14" spans="1:18" ht="15" customHeight="1" x14ac:dyDescent="0.3">
      <c r="A14" s="33" t="s">
        <v>37</v>
      </c>
    </row>
    <row r="15" spans="1:18" ht="15" customHeight="1" x14ac:dyDescent="0.3">
      <c r="A15" s="33" t="s">
        <v>81</v>
      </c>
    </row>
    <row r="16" spans="1:18" ht="15" customHeight="1" x14ac:dyDescent="0.3">
      <c r="A16" s="33" t="s">
        <v>39</v>
      </c>
    </row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</sheetData>
  <dataConsolidate/>
  <pageMargins left="0.70866141732283472" right="0.31496062992125984" top="0.55118110236220474" bottom="0.74803149606299213" header="0.31496062992125984" footer="0.31496062992125984"/>
  <pageSetup paperSize="9" scale="78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9C5C3-E443-42B4-88A0-E78F19C5ACE2}">
  <sheetPr codeName="Blad1"/>
  <dimension ref="A1:H26"/>
  <sheetViews>
    <sheetView tabSelected="1" zoomScaleNormal="100" workbookViewId="0">
      <selection activeCell="R1" sqref="R1"/>
    </sheetView>
  </sheetViews>
  <sheetFormatPr defaultColWidth="9.81640625" defaultRowHeight="13" x14ac:dyDescent="0.3"/>
  <cols>
    <col min="1" max="1" width="27" style="42" customWidth="1"/>
    <col min="2" max="2" width="10.54296875" style="42" bestFit="1" customWidth="1"/>
    <col min="3" max="3" width="12.1796875" style="42" customWidth="1"/>
    <col min="4" max="5" width="10" style="42" bestFit="1" customWidth="1"/>
    <col min="6" max="6" width="8.7265625" style="42" customWidth="1"/>
    <col min="7" max="7" width="8.26953125" style="42" customWidth="1"/>
    <col min="8" max="16384" width="9.81640625" style="42"/>
  </cols>
  <sheetData>
    <row r="1" spans="1:8" s="33" customFormat="1" ht="92.25" customHeight="1" x14ac:dyDescent="0.35">
      <c r="A1" s="1" t="s">
        <v>82</v>
      </c>
      <c r="E1"/>
      <c r="F1"/>
      <c r="G1"/>
      <c r="H1"/>
    </row>
    <row r="2" spans="1:8" ht="14.5" x14ac:dyDescent="0.35">
      <c r="A2" s="40" t="s">
        <v>83</v>
      </c>
      <c r="B2" s="41" t="s">
        <v>84</v>
      </c>
      <c r="C2" s="41" t="s">
        <v>85</v>
      </c>
      <c r="D2" s="41" t="s">
        <v>86</v>
      </c>
      <c r="E2" s="41" t="s">
        <v>87</v>
      </c>
      <c r="F2" s="41" t="s">
        <v>88</v>
      </c>
      <c r="G2" s="41" t="s">
        <v>89</v>
      </c>
    </row>
    <row r="3" spans="1:8" ht="14.5" x14ac:dyDescent="0.35">
      <c r="A3" s="43">
        <v>2023</v>
      </c>
      <c r="B3" s="44">
        <v>2568276</v>
      </c>
      <c r="C3" s="44">
        <v>409754</v>
      </c>
      <c r="D3" s="44">
        <v>10958</v>
      </c>
      <c r="E3" s="44">
        <v>228860</v>
      </c>
      <c r="F3" s="44">
        <v>906</v>
      </c>
      <c r="G3" s="44">
        <v>1030</v>
      </c>
    </row>
    <row r="4" spans="1:8" ht="14.5" x14ac:dyDescent="0.35">
      <c r="A4" s="45">
        <v>2022</v>
      </c>
      <c r="B4" s="19">
        <v>2668928</v>
      </c>
      <c r="C4" s="19">
        <v>400216</v>
      </c>
      <c r="D4" s="19">
        <v>11474</v>
      </c>
      <c r="E4" s="19">
        <v>228822</v>
      </c>
      <c r="F4" s="19">
        <v>1058</v>
      </c>
      <c r="G4" s="19">
        <v>1043</v>
      </c>
    </row>
    <row r="5" spans="1:8" ht="14.5" x14ac:dyDescent="0.35">
      <c r="A5" s="45">
        <v>2021</v>
      </c>
      <c r="B5" s="19">
        <v>2647847</v>
      </c>
      <c r="C5" s="19">
        <v>399962</v>
      </c>
      <c r="D5" s="19">
        <v>11499</v>
      </c>
      <c r="E5" s="19">
        <v>230120</v>
      </c>
      <c r="F5" s="19">
        <v>687</v>
      </c>
      <c r="G5" s="19">
        <v>1036</v>
      </c>
    </row>
    <row r="6" spans="1:8" ht="14.5" x14ac:dyDescent="0.35">
      <c r="A6" s="45">
        <v>2020</v>
      </c>
      <c r="B6" s="19">
        <v>2617581</v>
      </c>
      <c r="C6" s="19">
        <v>420198</v>
      </c>
      <c r="D6" s="19">
        <v>13468</v>
      </c>
      <c r="E6" s="19">
        <v>240517</v>
      </c>
      <c r="F6" s="19">
        <v>779</v>
      </c>
      <c r="G6" s="19">
        <v>1413</v>
      </c>
    </row>
    <row r="7" spans="1:8" ht="14.5" x14ac:dyDescent="0.35">
      <c r="A7" s="45">
        <v>2019</v>
      </c>
      <c r="B7" s="19">
        <v>2568189</v>
      </c>
      <c r="C7" s="19">
        <v>417043</v>
      </c>
      <c r="D7" s="19">
        <v>14891</v>
      </c>
      <c r="E7" s="19">
        <v>251708</v>
      </c>
      <c r="F7" s="19">
        <v>1198</v>
      </c>
      <c r="G7" s="19">
        <v>1712</v>
      </c>
    </row>
    <row r="8" spans="1:8" ht="14.5" x14ac:dyDescent="0.35">
      <c r="A8" s="45">
        <v>2018</v>
      </c>
      <c r="B8" s="19">
        <v>2640842</v>
      </c>
      <c r="C8" s="19">
        <v>409407</v>
      </c>
      <c r="D8" s="19">
        <v>15460</v>
      </c>
      <c r="E8" s="19">
        <v>280955</v>
      </c>
      <c r="F8" s="19">
        <v>1140</v>
      </c>
      <c r="G8" s="19">
        <v>1982</v>
      </c>
    </row>
    <row r="9" spans="1:8" ht="14.5" x14ac:dyDescent="0.35">
      <c r="A9" s="45">
        <v>2017</v>
      </c>
      <c r="B9" s="19">
        <v>2573461</v>
      </c>
      <c r="C9" s="19">
        <v>390996</v>
      </c>
      <c r="D9" s="19">
        <v>14399</v>
      </c>
      <c r="E9" s="19">
        <v>262396</v>
      </c>
      <c r="F9" s="19">
        <v>982</v>
      </c>
      <c r="G9" s="19">
        <v>2134</v>
      </c>
    </row>
    <row r="10" spans="1:8" ht="14.5" x14ac:dyDescent="0.35">
      <c r="A10" s="45">
        <v>2016</v>
      </c>
      <c r="B10" s="19">
        <v>2526661</v>
      </c>
      <c r="C10" s="19">
        <v>394932</v>
      </c>
      <c r="D10" s="19">
        <v>16256</v>
      </c>
      <c r="E10" s="19">
        <v>251448</v>
      </c>
      <c r="F10" s="19">
        <v>1138</v>
      </c>
      <c r="G10" s="19">
        <v>2488</v>
      </c>
    </row>
    <row r="11" spans="1:8" ht="14.5" x14ac:dyDescent="0.35">
      <c r="A11" s="45">
        <v>2015</v>
      </c>
      <c r="B11" s="19">
        <v>2554885</v>
      </c>
      <c r="C11" s="19">
        <v>406628</v>
      </c>
      <c r="D11" s="19">
        <v>21889</v>
      </c>
      <c r="E11" s="19">
        <v>256402</v>
      </c>
      <c r="F11" s="19">
        <v>1166</v>
      </c>
      <c r="G11" s="19">
        <v>2862</v>
      </c>
    </row>
    <row r="12" spans="1:8" ht="14.5" x14ac:dyDescent="0.35">
      <c r="A12" s="45">
        <v>2014</v>
      </c>
      <c r="B12" s="19">
        <v>2567911</v>
      </c>
      <c r="C12" s="19">
        <v>406088</v>
      </c>
      <c r="D12" s="19">
        <v>25739</v>
      </c>
      <c r="E12" s="19">
        <v>257808</v>
      </c>
      <c r="F12" s="19">
        <v>875</v>
      </c>
      <c r="G12" s="19">
        <v>3646</v>
      </c>
    </row>
    <row r="13" spans="1:8" ht="14.5" x14ac:dyDescent="0.35">
      <c r="A13" s="45">
        <v>2013</v>
      </c>
      <c r="B13" s="19">
        <v>2555848</v>
      </c>
      <c r="C13" s="19">
        <v>391347</v>
      </c>
      <c r="D13" s="19">
        <v>27091</v>
      </c>
      <c r="E13" s="19">
        <v>253097</v>
      </c>
      <c r="F13" s="19">
        <v>996</v>
      </c>
      <c r="G13" s="19">
        <v>4012</v>
      </c>
    </row>
    <row r="14" spans="1:8" ht="14.5" x14ac:dyDescent="0.35">
      <c r="A14" s="45">
        <v>2012</v>
      </c>
      <c r="B14" s="19">
        <v>2591862</v>
      </c>
      <c r="C14" s="19">
        <v>391826</v>
      </c>
      <c r="D14" s="19">
        <v>29133</v>
      </c>
      <c r="E14" s="19">
        <v>260521</v>
      </c>
      <c r="F14" s="19">
        <v>898</v>
      </c>
      <c r="G14" s="19">
        <v>4359</v>
      </c>
    </row>
    <row r="15" spans="1:8" ht="14.5" x14ac:dyDescent="0.35">
      <c r="A15" s="45">
        <v>2011</v>
      </c>
      <c r="B15" s="19">
        <v>2854837</v>
      </c>
      <c r="C15" s="19">
        <v>430061</v>
      </c>
      <c r="D15" s="19">
        <v>27188</v>
      </c>
      <c r="E15" s="19">
        <v>261993</v>
      </c>
      <c r="F15" s="19">
        <v>738</v>
      </c>
      <c r="G15" s="19">
        <v>4507</v>
      </c>
    </row>
    <row r="16" spans="1:8" ht="14.5" x14ac:dyDescent="0.35">
      <c r="A16" s="45">
        <v>2010</v>
      </c>
      <c r="B16" s="19">
        <v>2946689</v>
      </c>
      <c r="C16" s="19">
        <v>425664</v>
      </c>
      <c r="D16" s="19">
        <v>26655</v>
      </c>
      <c r="E16" s="19">
        <v>254909</v>
      </c>
      <c r="F16" s="19">
        <v>490</v>
      </c>
      <c r="G16" s="19">
        <v>3969</v>
      </c>
    </row>
    <row r="17" spans="1:7" ht="14.5" x14ac:dyDescent="0.35">
      <c r="A17" s="45">
        <v>2009</v>
      </c>
      <c r="B17" s="19">
        <v>2956412</v>
      </c>
      <c r="C17" s="19">
        <v>429526</v>
      </c>
      <c r="D17" s="19">
        <v>29425</v>
      </c>
      <c r="E17" s="19">
        <v>255072</v>
      </c>
      <c r="F17" s="19">
        <v>782</v>
      </c>
      <c r="G17" s="19">
        <v>3814</v>
      </c>
    </row>
    <row r="18" spans="1:7" ht="14.5" x14ac:dyDescent="0.35">
      <c r="A18" s="45">
        <v>2008</v>
      </c>
      <c r="B18" s="19">
        <v>3072441</v>
      </c>
      <c r="C18" s="19">
        <v>401597</v>
      </c>
      <c r="D18" s="19">
        <v>28661</v>
      </c>
      <c r="E18" s="19">
        <v>235031</v>
      </c>
      <c r="F18" s="19">
        <v>741</v>
      </c>
      <c r="G18" s="19">
        <v>3496</v>
      </c>
    </row>
    <row r="19" spans="1:7" ht="14.5" x14ac:dyDescent="0.35">
      <c r="A19" s="45">
        <v>2007</v>
      </c>
      <c r="B19" s="19">
        <v>3003777</v>
      </c>
      <c r="C19" s="19">
        <v>419408</v>
      </c>
      <c r="D19" s="19">
        <v>30124</v>
      </c>
      <c r="E19" s="19">
        <v>230975</v>
      </c>
      <c r="F19" s="19">
        <v>515</v>
      </c>
      <c r="G19" s="19">
        <v>2995</v>
      </c>
    </row>
    <row r="20" spans="1:7" ht="14.5" x14ac:dyDescent="0.35">
      <c r="A20" s="45">
        <v>2006</v>
      </c>
      <c r="B20" s="19">
        <v>3022036</v>
      </c>
      <c r="C20" s="19">
        <v>431679</v>
      </c>
      <c r="D20" s="19">
        <v>32425</v>
      </c>
      <c r="E20" s="19">
        <v>212854</v>
      </c>
      <c r="F20" s="19">
        <v>581</v>
      </c>
      <c r="G20" s="19">
        <v>3021</v>
      </c>
    </row>
    <row r="21" spans="1:7" ht="14.5" x14ac:dyDescent="0.35">
      <c r="A21" s="45">
        <v>2005</v>
      </c>
      <c r="B21" s="19">
        <v>3159941</v>
      </c>
      <c r="C21" s="19">
        <v>433044</v>
      </c>
      <c r="D21" s="19">
        <v>33036</v>
      </c>
      <c r="E21" s="19">
        <v>205983</v>
      </c>
      <c r="F21" s="19">
        <v>247</v>
      </c>
      <c r="G21" s="19">
        <v>3521</v>
      </c>
    </row>
    <row r="22" spans="1:7" ht="14.5" x14ac:dyDescent="0.35">
      <c r="A22" s="45">
        <v>2004</v>
      </c>
      <c r="B22" s="19">
        <v>3364833</v>
      </c>
      <c r="C22" s="19">
        <v>458016</v>
      </c>
      <c r="D22" s="19">
        <v>33868</v>
      </c>
      <c r="E22" s="19">
        <v>193241</v>
      </c>
      <c r="F22" s="19">
        <v>251</v>
      </c>
      <c r="G22" s="19">
        <v>5042</v>
      </c>
    </row>
    <row r="23" spans="1:7" ht="14.5" x14ac:dyDescent="0.35">
      <c r="A23" s="45">
        <v>2003</v>
      </c>
      <c r="B23" s="19">
        <v>3304939</v>
      </c>
      <c r="C23" s="19">
        <v>454222</v>
      </c>
      <c r="D23" s="19">
        <v>31536</v>
      </c>
      <c r="E23" s="19">
        <v>192432</v>
      </c>
      <c r="F23" s="19">
        <v>298</v>
      </c>
      <c r="G23" s="19">
        <v>5349</v>
      </c>
    </row>
    <row r="24" spans="1:7" ht="14.5" x14ac:dyDescent="0.35">
      <c r="A24" s="45">
        <v>2002</v>
      </c>
      <c r="B24" s="19">
        <v>3282338</v>
      </c>
      <c r="C24" s="19">
        <v>472928</v>
      </c>
      <c r="D24" s="19">
        <v>33831</v>
      </c>
      <c r="E24" s="19">
        <v>197278</v>
      </c>
      <c r="F24" s="19">
        <v>489</v>
      </c>
      <c r="G24" s="19">
        <v>5454</v>
      </c>
    </row>
    <row r="25" spans="1:7" ht="14.5" x14ac:dyDescent="0.35">
      <c r="A25" s="45">
        <v>2001</v>
      </c>
      <c r="B25" s="19">
        <v>3197296</v>
      </c>
      <c r="C25" s="19">
        <v>464032</v>
      </c>
      <c r="D25" s="19">
        <v>34290</v>
      </c>
      <c r="E25" s="19">
        <v>197343</v>
      </c>
      <c r="F25" s="19">
        <v>405</v>
      </c>
      <c r="G25" s="19">
        <v>5173</v>
      </c>
    </row>
    <row r="26" spans="1:7" ht="15" thickBot="1" x14ac:dyDescent="0.4">
      <c r="A26" s="46">
        <v>2000</v>
      </c>
      <c r="B26" s="47">
        <v>3256929</v>
      </c>
      <c r="C26" s="47">
        <v>490169</v>
      </c>
      <c r="D26" s="47">
        <v>39068</v>
      </c>
      <c r="E26" s="47">
        <v>203836</v>
      </c>
      <c r="F26" s="47">
        <v>391</v>
      </c>
      <c r="G26" s="47">
        <v>5448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Gris</vt:lpstr>
      <vt:lpstr>Storboskap</vt:lpstr>
      <vt:lpstr>Kalv</vt:lpstr>
      <vt:lpstr>Får och lamm</vt:lpstr>
      <vt:lpstr>Häst</vt:lpstr>
      <vt:lpstr>Årshistorik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Kvartalsstatistik för godkänd slakt kvartal 1 år 2024</dc:title>
  <dc:creator>Jordbruksverket</dc:creator>
  <cp:keywords>Gris,Storboskap,Kalv,Får och lamm,Häst,Årshistorik</cp:keywords>
  <cp:lastModifiedBy>Lisa Andersson</cp:lastModifiedBy>
  <dcterms:created xsi:type="dcterms:W3CDTF">2024-04-16T05:34:46Z</dcterms:created>
  <dcterms:modified xsi:type="dcterms:W3CDTF">2024-04-16T05:50:19Z</dcterms:modified>
</cp:coreProperties>
</file>