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Publicering\Dikor - Fredriksson Arkitektkontor\"/>
    </mc:Choice>
  </mc:AlternateContent>
  <bookViews>
    <workbookView xWindow="0" yWindow="0" windowWidth="28800" windowHeight="13692" tabRatio="800" activeTab="1"/>
  </bookViews>
  <sheets>
    <sheet name="Intro" sheetId="9" r:id="rId1"/>
    <sheet name="Investeringskalkyl" sheetId="1" r:id="rId2"/>
    <sheet name="Driftkalkyl - Dikor" sheetId="6" r:id="rId3"/>
    <sheet name="Blad10" sheetId="10" r:id="rId4"/>
    <sheet name="Blad11" sheetId="12" r:id="rId5"/>
  </sheets>
  <definedNames>
    <definedName name="blue_a2">#REF!</definedName>
    <definedName name="Djurslag">Blad10!$A$3:$A$8</definedName>
    <definedName name="pristyp">#REF!</definedName>
    <definedName name="prodstorlek">#REF!</definedName>
    <definedName name="stodomrade">#REF!</definedName>
    <definedName name="Välj_djurslag">Blad10!$A$2:$A$8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6" l="1"/>
  <c r="E54" i="1" l="1"/>
  <c r="E66" i="1" l="1"/>
  <c r="B16" i="1" l="1"/>
  <c r="B15" i="1"/>
  <c r="E26" i="6" l="1"/>
  <c r="C31" i="6" l="1"/>
  <c r="N47" i="6" l="1"/>
  <c r="N22" i="6" l="1"/>
  <c r="C20" i="6" l="1"/>
  <c r="C19" i="6"/>
  <c r="N44" i="6" l="1"/>
  <c r="N43" i="6"/>
  <c r="E49" i="6"/>
  <c r="E48" i="6"/>
  <c r="N31" i="6"/>
  <c r="L43" i="6" s="1"/>
  <c r="C66" i="1"/>
  <c r="C52" i="6" l="1"/>
  <c r="O39" i="6" l="1"/>
  <c r="O38" i="6"/>
  <c r="F35" i="6"/>
  <c r="O35" i="6"/>
  <c r="O26" i="6"/>
  <c r="F19" i="6"/>
  <c r="F34" i="6"/>
  <c r="B4" i="6"/>
  <c r="F57" i="6"/>
  <c r="F56" i="6"/>
  <c r="F55" i="6"/>
  <c r="G55" i="6" s="1"/>
  <c r="F54" i="6"/>
  <c r="G54" i="6" s="1"/>
  <c r="F53" i="6"/>
  <c r="F50" i="6"/>
  <c r="G50" i="6" s="1"/>
  <c r="O49" i="6"/>
  <c r="O48" i="6"/>
  <c r="O47" i="6"/>
  <c r="F45" i="6"/>
  <c r="G45" i="6" s="1"/>
  <c r="F44" i="6"/>
  <c r="G44" i="6" s="1"/>
  <c r="O45" i="6"/>
  <c r="F43" i="6"/>
  <c r="G43" i="6" s="1"/>
  <c r="F42" i="6"/>
  <c r="G42" i="6" s="1"/>
  <c r="F41" i="6"/>
  <c r="G41" i="6" s="1"/>
  <c r="F40" i="6"/>
  <c r="O41" i="6"/>
  <c r="F39" i="6"/>
  <c r="O40" i="6"/>
  <c r="F38" i="6"/>
  <c r="O37" i="6"/>
  <c r="F37" i="6"/>
  <c r="O36" i="6"/>
  <c r="F36" i="6"/>
  <c r="O34" i="6"/>
  <c r="O33" i="6"/>
  <c r="F33" i="6"/>
  <c r="O32" i="6"/>
  <c r="F32" i="6"/>
  <c r="O43" i="6"/>
  <c r="N28" i="6"/>
  <c r="F26" i="6"/>
  <c r="G26" i="6" s="1"/>
  <c r="O25" i="6"/>
  <c r="F25" i="6"/>
  <c r="G25" i="6" s="1"/>
  <c r="O24" i="6"/>
  <c r="F24" i="6"/>
  <c r="G24" i="6" s="1"/>
  <c r="O23" i="6"/>
  <c r="F23" i="6"/>
  <c r="G23" i="6" s="1"/>
  <c r="O22" i="6"/>
  <c r="F22" i="6"/>
  <c r="G22" i="6" s="1"/>
  <c r="F21" i="6"/>
  <c r="G21" i="6" s="1"/>
  <c r="O50" i="6" l="1"/>
  <c r="H35" i="6"/>
  <c r="G35" i="6"/>
  <c r="F20" i="6"/>
  <c r="F28" i="6" s="1"/>
  <c r="H41" i="6"/>
  <c r="G19" i="6"/>
  <c r="O31" i="6"/>
  <c r="O42" i="6" s="1"/>
  <c r="N42" i="6"/>
  <c r="H45" i="6"/>
  <c r="H32" i="6"/>
  <c r="H34" i="6"/>
  <c r="H37" i="6"/>
  <c r="H39" i="6"/>
  <c r="H21" i="6"/>
  <c r="H44" i="6"/>
  <c r="H53" i="6"/>
  <c r="H33" i="6"/>
  <c r="H36" i="6"/>
  <c r="H38" i="6"/>
  <c r="H40" i="6"/>
  <c r="H43" i="6"/>
  <c r="H56" i="6"/>
  <c r="H57" i="6"/>
  <c r="H55" i="6"/>
  <c r="G32" i="6"/>
  <c r="G33" i="6"/>
  <c r="G34" i="6"/>
  <c r="G36" i="6"/>
  <c r="G37" i="6"/>
  <c r="G38" i="6"/>
  <c r="G39" i="6"/>
  <c r="G40" i="6"/>
  <c r="G53" i="6"/>
  <c r="H54" i="6"/>
  <c r="G57" i="6"/>
  <c r="G56" i="6"/>
  <c r="H22" i="6"/>
  <c r="H23" i="6"/>
  <c r="H24" i="6"/>
  <c r="H25" i="6"/>
  <c r="H26" i="6"/>
  <c r="H42" i="6"/>
  <c r="H50" i="6"/>
  <c r="H19" i="6"/>
  <c r="L44" i="6" l="1"/>
  <c r="O44" i="6" s="1"/>
  <c r="O46" i="6" s="1"/>
  <c r="O51" i="6" s="1"/>
  <c r="O20" i="6" s="1"/>
  <c r="G20" i="6"/>
  <c r="G28" i="6" s="1"/>
  <c r="H20" i="6"/>
  <c r="H28" i="6" s="1"/>
  <c r="B11" i="6"/>
  <c r="E31" i="6" l="1"/>
  <c r="F31" i="6" s="1"/>
  <c r="O28" i="6"/>
  <c r="C48" i="6" l="1"/>
  <c r="F48" i="6" s="1"/>
  <c r="G48" i="6" s="1"/>
  <c r="F46" i="6"/>
  <c r="G31" i="6"/>
  <c r="H31" i="6"/>
  <c r="H48" i="6" l="1"/>
  <c r="C49" i="6"/>
  <c r="F49" i="6" s="1"/>
  <c r="G46" i="6"/>
  <c r="H46" i="6"/>
  <c r="B13" i="6"/>
  <c r="G49" i="6" l="1"/>
  <c r="H49" i="6"/>
  <c r="F66" i="1" l="1"/>
  <c r="F62" i="1"/>
  <c r="F61" i="1"/>
  <c r="F60" i="1"/>
  <c r="F59" i="1"/>
  <c r="F58" i="1"/>
  <c r="F55" i="1"/>
  <c r="F54" i="1"/>
  <c r="F53" i="1"/>
  <c r="F52" i="1"/>
  <c r="F49" i="1"/>
  <c r="F48" i="1"/>
  <c r="F47" i="1"/>
  <c r="F46" i="1"/>
  <c r="F45" i="1"/>
  <c r="F44" i="1"/>
  <c r="F41" i="1"/>
  <c r="F40" i="1"/>
  <c r="F39" i="1"/>
  <c r="F38" i="1"/>
  <c r="F34" i="1"/>
  <c r="F35" i="1"/>
  <c r="B25" i="1"/>
  <c r="F67" i="1" l="1"/>
  <c r="F42" i="1"/>
  <c r="F50" i="1"/>
  <c r="F56" i="1"/>
  <c r="F36" i="1"/>
  <c r="F63" i="1"/>
  <c r="F68" i="1" l="1"/>
  <c r="F69" i="1" l="1"/>
  <c r="F70" i="1" s="1"/>
  <c r="B20" i="1" s="1"/>
  <c r="F71" i="1"/>
  <c r="F74" i="1"/>
  <c r="E47" i="6" l="1"/>
  <c r="F72" i="1"/>
  <c r="F47" i="6" l="1"/>
  <c r="E52" i="6"/>
  <c r="F52" i="6" s="1"/>
  <c r="G47" i="6" l="1"/>
  <c r="F51" i="6"/>
  <c r="H51" i="6" s="1"/>
  <c r="H47" i="6"/>
  <c r="F58" i="6"/>
  <c r="H52" i="6"/>
  <c r="G52" i="6"/>
  <c r="B15" i="6" l="1"/>
  <c r="B9" i="6" s="1"/>
  <c r="B10" i="6" s="1"/>
  <c r="F59" i="6"/>
  <c r="H59" i="6" s="1"/>
  <c r="B14" i="6"/>
  <c r="G51" i="6"/>
  <c r="H58" i="6"/>
  <c r="G58" i="6"/>
  <c r="B18" i="1"/>
  <c r="G59" i="6" l="1"/>
  <c r="B21" i="1" l="1"/>
  <c r="B22" i="1" s="1"/>
  <c r="B28" i="1" l="1"/>
  <c r="B27" i="1"/>
</calcChain>
</file>

<file path=xl/comments1.xml><?xml version="1.0" encoding="utf-8"?>
<comments xmlns="http://schemas.openxmlformats.org/spreadsheetml/2006/main">
  <authors>
    <author>Jonas Fjertorp</author>
  </authors>
  <commentList>
    <comment ref="B11" authorId="0" shapeId="0">
      <text>
        <r>
          <rPr>
            <b/>
            <sz val="9"/>
            <color indexed="81"/>
            <rFont val="Tahoma"/>
            <family val="2"/>
          </rPr>
          <t>Jonas Fjertorp:</t>
        </r>
        <r>
          <rPr>
            <sz val="9"/>
            <color indexed="81"/>
            <rFont val="Tahoma"/>
            <family val="2"/>
          </rPr>
          <t xml:space="preserve">
Eventuellt ta bort arbete från kvigkalkylen och lägga in det arbetet i totalen. Inga andra TB3 poster är med i kvigkalkylen...</t>
        </r>
      </text>
    </comment>
    <comment ref="N47" authorId="0" shapeId="0">
      <text>
        <r>
          <rPr>
            <sz val="9"/>
            <color indexed="81"/>
            <rFont val="Tahoma"/>
            <family val="2"/>
          </rPr>
          <t>Minst 220 kr per timme (inkl. sociala avgifter)</t>
        </r>
      </text>
    </comment>
    <comment ref="E55" authorId="0" shapeId="0">
      <text>
        <r>
          <rPr>
            <sz val="9"/>
            <color indexed="81"/>
            <rFont val="Tahoma"/>
            <family val="2"/>
          </rPr>
          <t>Minst 220 kr per timme (inkl. sociala avgifter)</t>
        </r>
      </text>
    </comment>
  </commentList>
</comments>
</file>

<file path=xl/sharedStrings.xml><?xml version="1.0" encoding="utf-8"?>
<sst xmlns="http://schemas.openxmlformats.org/spreadsheetml/2006/main" count="275" uniqueCount="160">
  <si>
    <t>Total yta</t>
  </si>
  <si>
    <t>m2</t>
  </si>
  <si>
    <t>Byggdelar</t>
  </si>
  <si>
    <t>Utgift</t>
  </si>
  <si>
    <t>Kr/enhet</t>
  </si>
  <si>
    <t>Antal/yta</t>
  </si>
  <si>
    <t>Not</t>
  </si>
  <si>
    <t>Markarbete</t>
  </si>
  <si>
    <t>Byggnad</t>
  </si>
  <si>
    <t>Stallbyggnad</t>
  </si>
  <si>
    <t>Personalutrymmen</t>
  </si>
  <si>
    <t>Foderutrymmen</t>
  </si>
  <si>
    <t>Övriga serviceutrymmen</t>
  </si>
  <si>
    <t>Installationer</t>
  </si>
  <si>
    <t xml:space="preserve">Vatten, framdragning/anslutning </t>
  </si>
  <si>
    <t>VA-installationer</t>
  </si>
  <si>
    <t>El framdragning/anslutning</t>
  </si>
  <si>
    <t>El-installationer</t>
  </si>
  <si>
    <t>Ventilation</t>
  </si>
  <si>
    <t>Övriga installationer</t>
  </si>
  <si>
    <t>Gödselvårdsanläggning</t>
  </si>
  <si>
    <t>Utgödsling</t>
  </si>
  <si>
    <t>Gödselpump</t>
  </si>
  <si>
    <t>Pumpbrunn</t>
  </si>
  <si>
    <t>Gödselledningar</t>
  </si>
  <si>
    <t>Byggledning</t>
  </si>
  <si>
    <t>Markarbete för byggnader &amp; brunnar</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</si>
  <si>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</si>
  <si>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</si>
  <si>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</si>
  <si>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</si>
  <si>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</si>
  <si>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</si>
  <si>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</si>
  <si>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</si>
  <si>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</si>
  <si>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</si>
  <si>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</si>
  <si>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</si>
  <si>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</si>
  <si>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</si>
  <si>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</si>
  <si>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</si>
  <si>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</si>
  <si>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</si>
  <si>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</si>
  <si>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</si>
  <si>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st</t>
  </si>
  <si>
    <t>ton</t>
  </si>
  <si>
    <t>kg</t>
  </si>
  <si>
    <t>Strömedel</t>
  </si>
  <si>
    <t>kWh</t>
  </si>
  <si>
    <t>Produktionsrådgivning</t>
  </si>
  <si>
    <t>Semin</t>
  </si>
  <si>
    <t>SUMMA SÄRKOSTNADER 1</t>
  </si>
  <si>
    <t>Ränta djurkapital</t>
  </si>
  <si>
    <t>SUMMA SÄRKOSTNADER 2</t>
  </si>
  <si>
    <t>Byggnader, avskr + ränta</t>
  </si>
  <si>
    <t>tim</t>
  </si>
  <si>
    <t>SUMMA SÄRKOSTNADER 3</t>
  </si>
  <si>
    <t>Grundförutsättningar</t>
  </si>
  <si>
    <t>Arbete (inkl. eget arbete)</t>
  </si>
  <si>
    <t>%</t>
  </si>
  <si>
    <t>Pris per enhet</t>
  </si>
  <si>
    <t>Övriga kostnader</t>
  </si>
  <si>
    <t>Nyckeltal</t>
  </si>
  <si>
    <t>Försäkringar för stallbyggnad</t>
  </si>
  <si>
    <t>Försäkringar för djur</t>
  </si>
  <si>
    <t>Investeringsstöd enligt schablon, totalt</t>
  </si>
  <si>
    <t>Investeringsutgift per djurplats utan stöd</t>
  </si>
  <si>
    <t>---</t>
  </si>
  <si>
    <t>Summa kostnader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</si>
  <si>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</si>
  <si>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</si>
  <si>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</si>
  <si>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</si>
  <si>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</si>
  <si>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</si>
  <si>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</si>
  <si>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</si>
  <si>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</si>
  <si>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</si>
  <si>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</si>
  <si>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</si>
  <si>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</si>
  <si>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</si>
  <si>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Summa intäkter</t>
  </si>
  <si>
    <t>TB 1</t>
  </si>
  <si>
    <t>TB 2</t>
  </si>
  <si>
    <t>TB 3</t>
  </si>
  <si>
    <t>Investeringskalkyl</t>
  </si>
  <si>
    <t>Värde</t>
  </si>
  <si>
    <t>Yta stall</t>
  </si>
  <si>
    <t>Yta serviceutrymmen &amp; övriga utrymmen (exklusive utrymmen för visning)</t>
  </si>
  <si>
    <t>Yta utrymmen för visning</t>
  </si>
  <si>
    <t>INVESTERINGSUTGIFT</t>
  </si>
  <si>
    <t>GRUNDDATA</t>
  </si>
  <si>
    <t>Byggnader, löpande underhåll</t>
  </si>
  <si>
    <t>SÄRINTÄKTER</t>
  </si>
  <si>
    <t>SÄRKOSTNADER</t>
  </si>
  <si>
    <t>Driftkalkyl - Dikor</t>
  </si>
  <si>
    <t>Gödsel</t>
  </si>
  <si>
    <t>Kompensationsstöd</t>
  </si>
  <si>
    <t>Grovfoder</t>
  </si>
  <si>
    <t>Fodersäd</t>
  </si>
  <si>
    <t>Mineralfoder</t>
  </si>
  <si>
    <t>Driftsledning</t>
  </si>
  <si>
    <t>Ersättning för ekologisk produktion</t>
  </si>
  <si>
    <t>Förmedlingsavgift, frakt, tillägg</t>
  </si>
  <si>
    <t>Veterinär &amp; medicin</t>
  </si>
  <si>
    <t>mjölkkor</t>
  </si>
  <si>
    <t>Ränta rörelsekapital</t>
  </si>
  <si>
    <t>Nettonuvärde vid 5 % avkastning</t>
  </si>
  <si>
    <t>Netto betesmark</t>
  </si>
  <si>
    <t>Investeringsutgift (efter investeringsstöd enligt schablon)</t>
  </si>
  <si>
    <t>Koncentrat</t>
  </si>
  <si>
    <t>Driftnetto per år enligt driftkalkyl</t>
  </si>
  <si>
    <t>Driftnetto per år exklusive avskrivningar och ränta</t>
  </si>
  <si>
    <t>Resultat för stallet</t>
  </si>
  <si>
    <t>Vinstmarginal i stallkalkylen</t>
  </si>
  <si>
    <t>Löner</t>
  </si>
  <si>
    <t>kgts</t>
  </si>
  <si>
    <t>månader</t>
  </si>
  <si>
    <t>Nötkreatursstöd</t>
  </si>
  <si>
    <t>Uppfödningstid rekryteringskviga</t>
  </si>
  <si>
    <t>Täckningsbidrag per dikor</t>
  </si>
  <si>
    <t>Rekryteringskviga</t>
  </si>
  <si>
    <t>Kvant per diko</t>
  </si>
  <si>
    <t>Kronor per diko</t>
  </si>
  <si>
    <t>Kronor per kalv</t>
  </si>
  <si>
    <t>Kvant per kviga</t>
  </si>
  <si>
    <t>Kronor per kviga</t>
  </si>
  <si>
    <t>Kvigkalv</t>
  </si>
  <si>
    <t>Tjurkalv</t>
  </si>
  <si>
    <t>Utslagsko</t>
  </si>
  <si>
    <t>Rekryteringskviga (se särskild kalkyl)</t>
  </si>
  <si>
    <t>Tjurhållning</t>
  </si>
  <si>
    <t>Självkostnad (TB3 =0)</t>
  </si>
  <si>
    <t>Antal sålda kalvar per diko &amp; år</t>
  </si>
  <si>
    <t>Nuvärdet av driftsnetto (exklusive avskrivningar och ränta)</t>
  </si>
  <si>
    <t>SUMMA Investeringsutgift (exklusive utrymmen för visning)</t>
  </si>
  <si>
    <t>TOTAL INVESTERINGSUTGIFT (inklusive utrymmen för visning, utan stöd)</t>
  </si>
  <si>
    <t>Indata till rullista på fliken "Investeringskalkyl" - RADERA EJ</t>
  </si>
  <si>
    <t>Grovfoder, netto efter komp</t>
  </si>
  <si>
    <t>Mats Fredriksson</t>
  </si>
  <si>
    <t>Fredrikssons arkitektkontor</t>
  </si>
  <si>
    <t>Strömedel, spån och halm</t>
  </si>
  <si>
    <t xml:space="preserve">Gödsel,netto </t>
  </si>
  <si>
    <t>m</t>
  </si>
  <si>
    <t>Netto betesmark, efter miljö-, komp- (50%) och gårdsstöd</t>
  </si>
  <si>
    <t xml:space="preserve">Arbete </t>
  </si>
  <si>
    <t>El och diesel</t>
  </si>
  <si>
    <t>Stallinredning o vattenkoppar</t>
  </si>
  <si>
    <t>Gummimattor</t>
  </si>
  <si>
    <t>Utfodring</t>
  </si>
  <si>
    <t>Montering stallinredning</t>
  </si>
  <si>
    <t>Gödselbrunn och gödselplatta</t>
  </si>
  <si>
    <t>Stall för dikalvsproduktion</t>
  </si>
  <si>
    <t>Delsumma byggnader</t>
  </si>
  <si>
    <t>Vägar &amp; planer, matjord o återfyll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</si>
</sst>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kr&quot;;[Red]\-#,##0\ &quot;kr&quot;"/>
    <numFmt numFmtId="8" formatCode="#,##0.00\ &quot;kr&quot;;[Red]\-#,##0.0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2" formatCode="0.000%"/>
    <numFmt numFmtId="173" formatCode="#,##0_ ;[Red]\-#,##0\ "/>
    <numFmt numFmtId="174" formatCode="#,##0.00\ &quot;kr&quot;"/>
  </numFmts>
  <fonts count="32"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9"/>
      <color indexed="81"/>
      <name val="Tahoma"/>
      <family val="2"/>
    </font>
    <font>
      <sz val="10"/>
      <name val="Verdana"/>
      <family val="2"/>
    </font>
    <font>
      <b/>
      <sz val="9"/>
      <color indexed="81"/>
      <name val="Tahoma"/>
      <family val="2"/>
    </font>
    <font>
      <b/>
      <sz val="14"/>
      <color rgb="FFFF0000"/>
      <name val="Calibri"/>
      <family val="2"/>
      <scheme val="minor"/>
    </font>
    <font>
      <sz val="11"/>
      <color theme="1"/>
      <name val="Franklin Gothic Book"/>
      <family val="2"/>
    </font>
    <font>
      <sz val="11"/>
      <color rgb="FFFF0000"/>
      <name val="Franklin Gothic Book"/>
      <family val="2"/>
    </font>
    <font>
      <sz val="22"/>
      <color theme="1"/>
      <name val="Cambria"/>
      <family val="1"/>
    </font>
    <font>
      <sz val="11"/>
      <color theme="1"/>
      <name val="Cambria"/>
      <family val="1"/>
    </font>
    <font>
      <sz val="14"/>
      <name val="Cambria"/>
      <family val="1"/>
    </font>
    <font>
      <sz val="11"/>
      <color rgb="FFFF0000"/>
      <name val="Cambria"/>
      <family val="1"/>
    </font>
    <font>
      <b/>
      <i/>
      <sz val="11"/>
      <color theme="1"/>
      <name val="Cambria"/>
      <family val="1"/>
    </font>
    <font>
      <i/>
      <sz val="11"/>
      <color theme="1"/>
      <name val="Cambria"/>
      <family val="1"/>
    </font>
    <font>
      <sz val="10"/>
      <name val="Verdana"/>
      <family val="2"/>
    </font>
    <font>
      <b/>
      <sz val="11"/>
      <name val="Cambria"/>
      <family val="1"/>
    </font>
    <font>
      <sz val="11"/>
      <name val="Cambria"/>
      <family val="1"/>
    </font>
    <font>
      <b/>
      <i/>
      <sz val="11"/>
      <name val="Cambria"/>
      <family val="1"/>
    </font>
    <font>
      <b/>
      <sz val="12"/>
      <color theme="1"/>
      <name val="Cambria"/>
      <family val="1"/>
    </font>
    <font>
      <b/>
      <i/>
      <sz val="12"/>
      <color theme="1"/>
      <name val="Cambria"/>
      <family val="1"/>
    </font>
    <font>
      <b/>
      <sz val="11"/>
      <color theme="1"/>
      <name val="Cambria"/>
      <family val="1"/>
    </font>
    <font>
      <sz val="22"/>
      <color theme="1"/>
      <name val="Cambria"/>
      <family val="1"/>
    </font>
    <font>
      <sz val="11"/>
      <color theme="1"/>
      <name val="Cambria"/>
      <family val="1"/>
    </font>
    <font>
      <b/>
      <sz val="11"/>
      <color theme="1"/>
      <name val="Cambria"/>
      <family val="1"/>
    </font>
    <font>
      <b/>
      <sz val="11"/>
      <name val="Cambria"/>
      <family val="1"/>
    </font>
    <font>
      <sz val="11"/>
      <name val="Cambria"/>
      <family val="1"/>
    </font>
    <font>
      <b/>
      <sz val="16"/>
      <name val="Cambria"/>
      <family val="1"/>
    </font>
    <font>
      <b/>
      <i/>
      <sz val="11"/>
      <name val="Cambria"/>
      <family val="1"/>
    </font>
    <font>
      <i/>
      <sz val="11"/>
      <name val="Cambria"/>
      <family val="1"/>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cellStyleXfs>
  <cellXfs count="235">
    <xf numFmtId="0" fontId="0" fillId="0" borderId="0" xfId="0"/>
    <xf numFmtId="0" fontId="2" fillId="0" borderId="0" xfId="0" applyFont="1"/>
    <xf numFmtId="0" fontId="3" fillId="0" borderId="0" xfId="0" applyFont="1"/>
    <xf numFmtId="0" fontId="8" fillId="0" borderId="0" xfId="0" applyFont="1"/>
    <xf numFmtId="0" fontId="9" fillId="0" borderId="0" xfId="0" applyFont="1"/>
    <xf numFmtId="0" fontId="10" fillId="0" borderId="0" xfId="0" applyFont="1"/>
    <xf numFmtId="0" fontId="10" fillId="0" borderId="2" xfId="0" applyFont="1" applyBorder="1"/>
    <xf numFmtId="0" fontId="9" fillId="0" borderId="3" xfId="0" applyFont="1" applyBorder="1"/>
    <xf numFmtId="0" fontId="9" fillId="0" borderId="4" xfId="0" applyFont="1" applyBorder="1"/>
    <xf numFmtId="0" fontId="9" fillId="0" borderId="9" xfId="0" applyFont="1" applyBorder="1"/>
    <xf numFmtId="0" fontId="9" fillId="0" borderId="10" xfId="0" applyFont="1" applyBorder="1"/>
    <xf numFmtId="0" fontId="9" fillId="0" borderId="11" xfId="0" applyFont="1" applyBorder="1"/>
    <xf numFmtId="0" fontId="11" fillId="0" borderId="0" xfId="0" applyFont="1"/>
    <xf numFmtId="0" fontId="12" fillId="0" borderId="0" xfId="0" applyFont="1"/>
    <xf numFmtId="0" fontId="13" fillId="0" borderId="0" xfId="0" applyFont="1"/>
    <xf numFmtId="0" fontId="14" fillId="0" borderId="0" xfId="0" applyFont="1"/>
    <xf numFmtId="0" fontId="15" fillId="4" borderId="2" xfId="0" applyFont="1" applyFill="1" applyBorder="1"/>
    <xf numFmtId="0" fontId="15" fillId="4" borderId="3" xfId="0" applyFont="1" applyFill="1" applyBorder="1"/>
    <xf numFmtId="0" fontId="12" fillId="4" borderId="3" xfId="0" applyFont="1" applyFill="1" applyBorder="1"/>
    <xf numFmtId="0" fontId="12" fillId="4" borderId="4" xfId="0" applyFont="1" applyFill="1" applyBorder="1"/>
    <xf numFmtId="0" fontId="12" fillId="0" borderId="0" xfId="0" applyFont="1" applyBorder="1"/>
    <xf numFmtId="0" fontId="15" fillId="4" borderId="7" xfId="0" applyFont="1" applyFill="1" applyBorder="1"/>
    <xf numFmtId="0" fontId="15" fillId="4" borderId="1" xfId="0" applyFont="1" applyFill="1" applyBorder="1"/>
    <xf numFmtId="0" fontId="12" fillId="4" borderId="8" xfId="0" applyFont="1" applyFill="1" applyBorder="1"/>
    <xf numFmtId="0" fontId="12" fillId="0" borderId="5" xfId="0" applyFont="1" applyBorder="1" applyAlignment="1" applyProtection="1">
      <alignment wrapText="1"/>
      <protection locked="0"/>
    </xf>
    <xf numFmtId="0" fontId="12" fillId="0" borderId="0" xfId="0" applyFont="1" applyBorder="1" applyAlignment="1" applyProtection="1">
      <alignment wrapText="1"/>
      <protection locked="0"/>
    </xf>
    <xf numFmtId="0" fontId="12" fillId="0" borderId="0" xfId="0" applyFont="1" applyFill="1" applyBorder="1" applyProtection="1">
      <protection locked="0"/>
    </xf>
    <xf numFmtId="0" fontId="12" fillId="0" borderId="6" xfId="0" applyFont="1" applyBorder="1" applyProtection="1">
      <protection locked="0"/>
    </xf>
    <xf numFmtId="0" fontId="12" fillId="0" borderId="0" xfId="0" applyFont="1" applyBorder="1" applyAlignment="1">
      <alignment wrapText="1"/>
    </xf>
    <xf numFmtId="0" fontId="12" fillId="0" borderId="9" xfId="0" applyFont="1" applyBorder="1" applyProtection="1">
      <protection locked="0"/>
    </xf>
    <xf numFmtId="0" fontId="12" fillId="0" borderId="10" xfId="0" applyFont="1" applyBorder="1" applyProtection="1">
      <protection locked="0"/>
    </xf>
    <xf numFmtId="0" fontId="12" fillId="0" borderId="11" xfId="0" applyFont="1" applyBorder="1" applyProtection="1">
      <protection locked="0"/>
    </xf>
    <xf numFmtId="0" fontId="16" fillId="0" borderId="0" xfId="0" applyFont="1" applyBorder="1"/>
    <xf numFmtId="0" fontId="17" fillId="0" borderId="0" xfId="2" applyFont="1"/>
    <xf numFmtId="0" fontId="17" fillId="0" borderId="0" xfId="2" applyFont="1" applyAlignment="1">
      <alignment wrapText="1"/>
    </xf>
    <xf numFmtId="0" fontId="18" fillId="4" borderId="23" xfId="2" applyFont="1" applyFill="1" applyBorder="1" applyAlignment="1">
      <alignment wrapText="1"/>
    </xf>
    <xf numFmtId="0" fontId="18" fillId="4" borderId="21" xfId="2" applyFont="1" applyFill="1" applyBorder="1" applyAlignment="1">
      <alignment horizontal="left" wrapText="1"/>
    </xf>
    <xf numFmtId="0" fontId="18" fillId="4" borderId="22" xfId="2" applyFont="1" applyFill="1" applyBorder="1" applyAlignment="1">
      <alignment wrapText="1"/>
    </xf>
    <xf numFmtId="0" fontId="17" fillId="0" borderId="0" xfId="2" applyFont="1" applyFill="1" applyBorder="1"/>
    <xf numFmtId="0" fontId="19" fillId="0" borderId="5" xfId="2" applyFont="1" applyFill="1" applyBorder="1" applyAlignment="1">
      <alignment wrapText="1"/>
    </xf>
    <xf numFmtId="0" fontId="12" fillId="0" borderId="0" xfId="0" applyFont="1" applyBorder="1" applyAlignment="1" applyProtection="1">
      <alignment horizontal="right" wrapText="1"/>
      <protection locked="0"/>
    </xf>
    <xf numFmtId="0" fontId="19" fillId="0" borderId="6" xfId="0" applyFont="1" applyBorder="1" applyAlignment="1" applyProtection="1">
      <alignment horizontal="left"/>
      <protection locked="0"/>
    </xf>
    <xf numFmtId="0" fontId="12" fillId="0" borderId="5" xfId="0" applyFont="1" applyBorder="1"/>
    <xf numFmtId="0" fontId="12" fillId="0" borderId="0" xfId="0" applyFont="1" applyFill="1" applyBorder="1" applyAlignment="1" applyProtection="1">
      <alignment horizontal="right"/>
      <protection locked="0"/>
    </xf>
    <xf numFmtId="0" fontId="12" fillId="0" borderId="6" xfId="0" applyFont="1" applyBorder="1"/>
    <xf numFmtId="0" fontId="12" fillId="0" borderId="5" xfId="0" applyFont="1" applyBorder="1" applyAlignment="1">
      <alignment wrapText="1"/>
    </xf>
    <xf numFmtId="0" fontId="12" fillId="0" borderId="7" xfId="0" applyFont="1" applyBorder="1" applyAlignment="1">
      <alignment wrapText="1"/>
    </xf>
    <xf numFmtId="0" fontId="12" fillId="0" borderId="1" xfId="0" applyFont="1" applyFill="1" applyBorder="1" applyAlignment="1" applyProtection="1">
      <alignment horizontal="right"/>
      <protection locked="0"/>
    </xf>
    <xf numFmtId="0" fontId="12" fillId="0" borderId="8" xfId="0" applyFont="1" applyBorder="1"/>
    <xf numFmtId="0" fontId="16" fillId="0" borderId="18" xfId="0" applyFont="1" applyBorder="1"/>
    <xf numFmtId="3" fontId="16" fillId="3" borderId="16" xfId="0" applyNumberFormat="1" applyFont="1" applyFill="1" applyBorder="1" applyProtection="1"/>
    <xf numFmtId="0" fontId="16" fillId="0" borderId="20" xfId="0" applyFont="1" applyBorder="1"/>
    <xf numFmtId="173" fontId="20" fillId="3" borderId="13" xfId="2" applyNumberFormat="1" applyFont="1" applyFill="1" applyBorder="1" applyAlignment="1" applyProtection="1">
      <alignment horizontal="right"/>
    </xf>
    <xf numFmtId="0" fontId="19" fillId="0" borderId="6" xfId="2" applyFont="1" applyFill="1" applyBorder="1"/>
    <xf numFmtId="173" fontId="20" fillId="3" borderId="0" xfId="2" applyNumberFormat="1" applyFont="1" applyFill="1" applyBorder="1" applyAlignment="1" applyProtection="1">
      <alignment horizontal="right"/>
    </xf>
    <xf numFmtId="38" fontId="12" fillId="0" borderId="0" xfId="0" applyNumberFormat="1" applyFont="1"/>
    <xf numFmtId="6" fontId="12" fillId="0" borderId="0" xfId="0" applyNumberFormat="1" applyFont="1"/>
    <xf numFmtId="10" fontId="19" fillId="2" borderId="0" xfId="2" applyNumberFormat="1" applyFont="1" applyFill="1" applyBorder="1" applyAlignment="1" applyProtection="1">
      <alignment horizontal="right"/>
    </xf>
    <xf numFmtId="168" fontId="19" fillId="3" borderId="0" xfId="2" applyNumberFormat="1" applyFont="1" applyFill="1" applyBorder="1" applyAlignment="1" applyProtection="1">
      <alignment horizontal="right"/>
    </xf>
    <xf numFmtId="0" fontId="19" fillId="0" borderId="0" xfId="2" applyFont="1" applyFill="1" applyBorder="1" applyAlignment="1" applyProtection="1">
      <alignment horizontal="right"/>
      <protection locked="0"/>
    </xf>
    <xf numFmtId="173" fontId="20" fillId="3" borderId="1" xfId="2" applyNumberFormat="1" applyFont="1" applyFill="1" applyBorder="1" applyAlignment="1" applyProtection="1">
      <alignment horizontal="right"/>
    </xf>
    <xf numFmtId="0" fontId="20" fillId="0" borderId="15" xfId="2" applyFont="1" applyFill="1" applyBorder="1" applyAlignment="1">
      <alignment wrapText="1"/>
    </xf>
    <xf numFmtId="173" fontId="20" fillId="3" borderId="10" xfId="2" applyNumberFormat="1" applyFont="1" applyFill="1" applyBorder="1" applyAlignment="1" applyProtection="1">
      <alignment horizontal="right"/>
    </xf>
    <xf numFmtId="0" fontId="20" fillId="0" borderId="17" xfId="2" applyFont="1" applyFill="1" applyBorder="1"/>
    <xf numFmtId="0" fontId="19" fillId="0" borderId="0" xfId="2" applyFont="1" applyFill="1" applyBorder="1" applyAlignment="1">
      <alignment wrapText="1"/>
    </xf>
    <xf numFmtId="171" fontId="19" fillId="0" borderId="0" xfId="2" applyNumberFormat="1" applyFont="1" applyFill="1" applyBorder="1" applyAlignment="1">
      <alignment wrapText="1"/>
    </xf>
    <xf numFmtId="0" fontId="19" fillId="0" borderId="0" xfId="2" applyFont="1" applyFill="1" applyBorder="1"/>
    <xf numFmtId="0" fontId="21" fillId="4" borderId="23" xfId="0" applyFont="1" applyFill="1" applyBorder="1"/>
    <xf numFmtId="0" fontId="12" fillId="4" borderId="21" xfId="0" applyFont="1" applyFill="1" applyBorder="1"/>
    <xf numFmtId="0" fontId="12" fillId="4" borderId="22" xfId="0" applyFont="1" applyFill="1" applyBorder="1"/>
    <xf numFmtId="0" fontId="21" fillId="4" borderId="5" xfId="0" applyFont="1" applyFill="1" applyBorder="1"/>
    <xf numFmtId="0" fontId="22" fillId="4" borderId="0" xfId="0" applyFont="1" applyFill="1" applyBorder="1" applyAlignment="1">
      <alignment horizontal="center"/>
    </xf>
    <xf numFmtId="0" fontId="21" fillId="4" borderId="0" xfId="0" applyFont="1" applyFill="1" applyBorder="1"/>
    <xf numFmtId="0" fontId="21" fillId="4" borderId="6" xfId="0" applyFont="1" applyFill="1" applyBorder="1"/>
    <xf numFmtId="0" fontId="21" fillId="0" borderId="0" xfId="0" applyFont="1"/>
    <xf numFmtId="0" fontId="15" fillId="0" borderId="5" xfId="0" applyFont="1" applyBorder="1"/>
    <xf numFmtId="0" fontId="16" fillId="0" borderId="0" xfId="0" applyFont="1" applyBorder="1" applyAlignment="1" applyProtection="1">
      <alignment horizontal="center"/>
      <protection locked="0"/>
    </xf>
    <xf numFmtId="0" fontId="12" fillId="0" borderId="0" xfId="0" applyFont="1" applyBorder="1" applyProtection="1">
      <protection locked="0"/>
    </xf>
    <xf numFmtId="164" fontId="12" fillId="0" borderId="0" xfId="0" applyNumberFormat="1" applyFont="1" applyBorder="1" applyProtection="1">
      <protection locked="0"/>
    </xf>
    <xf numFmtId="164" fontId="12" fillId="0" borderId="6" xfId="0" applyNumberFormat="1" applyFont="1" applyFill="1" applyBorder="1"/>
    <xf numFmtId="164" fontId="12" fillId="3" borderId="6" xfId="0" applyNumberFormat="1" applyFont="1" applyFill="1" applyBorder="1" applyProtection="1"/>
    <xf numFmtId="0" fontId="16" fillId="0" borderId="19" xfId="0" applyFont="1" applyBorder="1" applyAlignment="1" applyProtection="1">
      <alignment horizontal="center"/>
      <protection locked="0"/>
    </xf>
    <xf numFmtId="0" fontId="16" fillId="0" borderId="19" xfId="0" applyFont="1" applyBorder="1" applyProtection="1">
      <protection locked="0"/>
    </xf>
    <xf numFmtId="164" fontId="16" fillId="0" borderId="19" xfId="0" applyNumberFormat="1" applyFont="1" applyBorder="1" applyProtection="1">
      <protection locked="0"/>
    </xf>
    <xf numFmtId="164" fontId="16" fillId="3" borderId="20" xfId="0" applyNumberFormat="1" applyFont="1" applyFill="1" applyBorder="1" applyProtection="1"/>
    <xf numFmtId="0" fontId="15" fillId="0" borderId="12" xfId="0" applyFont="1" applyBorder="1"/>
    <xf numFmtId="0" fontId="16" fillId="0" borderId="13" xfId="0" applyFont="1" applyBorder="1" applyAlignment="1" applyProtection="1">
      <alignment horizontal="center"/>
      <protection locked="0"/>
    </xf>
    <xf numFmtId="0" fontId="12" fillId="0" borderId="13" xfId="0" applyFont="1" applyBorder="1" applyProtection="1">
      <protection locked="0"/>
    </xf>
    <xf numFmtId="164" fontId="12" fillId="0" borderId="13" xfId="0" applyNumberFormat="1" applyFont="1" applyBorder="1" applyProtection="1">
      <protection locked="0"/>
    </xf>
    <xf numFmtId="164" fontId="12" fillId="0" borderId="14" xfId="0" applyNumberFormat="1" applyFont="1" applyFill="1" applyBorder="1"/>
    <xf numFmtId="10" fontId="12" fillId="0" borderId="0" xfId="0" applyNumberFormat="1" applyFont="1" applyBorder="1" applyProtection="1">
      <protection locked="0"/>
    </xf>
    <xf numFmtId="9" fontId="12" fillId="2" borderId="0" xfId="0" applyNumberFormat="1" applyFont="1" applyFill="1" applyBorder="1" applyProtection="1"/>
    <xf numFmtId="0" fontId="16" fillId="0" borderId="19" xfId="0" applyFont="1" applyBorder="1" applyAlignment="1">
      <alignment horizontal="center"/>
    </xf>
    <xf numFmtId="0" fontId="16" fillId="0" borderId="19" xfId="0" applyFont="1" applyBorder="1"/>
    <xf numFmtId="164" fontId="16" fillId="0" borderId="19" xfId="0" applyNumberFormat="1" applyFont="1" applyBorder="1"/>
    <xf numFmtId="0" fontId="23" fillId="0" borderId="12" xfId="0" applyFont="1" applyBorder="1"/>
    <xf numFmtId="0" fontId="16" fillId="0" borderId="13" xfId="0" applyFont="1" applyBorder="1" applyAlignment="1">
      <alignment horizontal="center"/>
    </xf>
    <xf numFmtId="0" fontId="23" fillId="0" borderId="13" xfId="0" applyFont="1" applyBorder="1"/>
    <xf numFmtId="164" fontId="23" fillId="0" borderId="13" xfId="0" applyNumberFormat="1" applyFont="1" applyBorder="1"/>
    <xf numFmtId="164" fontId="23" fillId="3" borderId="14" xfId="0" applyNumberFormat="1" applyFont="1" applyFill="1" applyBorder="1" applyProtection="1"/>
    <xf numFmtId="0" fontId="23" fillId="0" borderId="7" xfId="0" applyFont="1" applyBorder="1"/>
    <xf numFmtId="0" fontId="16" fillId="0" borderId="1" xfId="0" applyFont="1" applyBorder="1" applyAlignment="1">
      <alignment horizontal="center"/>
    </xf>
    <xf numFmtId="0" fontId="23" fillId="0" borderId="1" xfId="0" applyFont="1" applyBorder="1"/>
    <xf numFmtId="164" fontId="23" fillId="0" borderId="1" xfId="0" applyNumberFormat="1" applyFont="1" applyBorder="1"/>
    <xf numFmtId="164" fontId="23" fillId="3" borderId="8" xfId="0" applyNumberFormat="1" applyFont="1" applyFill="1" applyBorder="1" applyProtection="1"/>
    <xf numFmtId="0" fontId="12" fillId="0" borderId="1" xfId="0" applyFont="1" applyBorder="1"/>
    <xf numFmtId="0" fontId="23" fillId="0" borderId="18" xfId="0" applyFont="1" applyBorder="1"/>
    <xf numFmtId="0" fontId="23" fillId="0" borderId="19" xfId="0" applyFont="1" applyBorder="1"/>
    <xf numFmtId="164" fontId="23" fillId="0" borderId="19" xfId="0" applyNumberFormat="1" applyFont="1" applyBorder="1"/>
    <xf numFmtId="164" fontId="23" fillId="3" borderId="20" xfId="0" applyNumberFormat="1" applyFont="1" applyFill="1" applyBorder="1" applyProtection="1"/>
    <xf numFmtId="0" fontId="23" fillId="0" borderId="5" xfId="0" applyFont="1" applyBorder="1"/>
    <xf numFmtId="0" fontId="16" fillId="0" borderId="0" xfId="0" applyFont="1" applyBorder="1" applyAlignment="1">
      <alignment horizontal="center"/>
    </xf>
    <xf numFmtId="0" fontId="23" fillId="0" borderId="0" xfId="0" applyFont="1" applyBorder="1"/>
    <xf numFmtId="164" fontId="23" fillId="0" borderId="0" xfId="0" applyNumberFormat="1" applyFont="1" applyBorder="1"/>
    <xf numFmtId="164" fontId="23" fillId="3" borderId="6" xfId="0" applyNumberFormat="1" applyFont="1" applyFill="1" applyBorder="1" applyProtection="1"/>
    <xf numFmtId="0" fontId="12" fillId="5" borderId="12" xfId="0" applyFont="1" applyFill="1" applyBorder="1"/>
    <xf numFmtId="0" fontId="16" fillId="5" borderId="13" xfId="0" applyFont="1" applyFill="1" applyBorder="1" applyAlignment="1" applyProtection="1">
      <alignment horizontal="center"/>
      <protection locked="0"/>
    </xf>
    <xf numFmtId="0" fontId="12" fillId="5" borderId="13" xfId="0" applyFont="1" applyFill="1" applyBorder="1" applyProtection="1">
      <protection locked="0"/>
    </xf>
    <xf numFmtId="164" fontId="12" fillId="5" borderId="13" xfId="0" applyNumberFormat="1" applyFont="1" applyFill="1" applyBorder="1" applyProtection="1">
      <protection locked="0"/>
    </xf>
    <xf numFmtId="164" fontId="12" fillId="5" borderId="20" xfId="0" applyNumberFormat="1" applyFont="1" applyFill="1" applyBorder="1" applyProtection="1">
      <protection locked="0"/>
    </xf>
    <xf numFmtId="0" fontId="12" fillId="0" borderId="15" xfId="0" applyFont="1" applyBorder="1"/>
    <xf numFmtId="0" fontId="16" fillId="0" borderId="16" xfId="0" applyFont="1" applyBorder="1" applyAlignment="1">
      <alignment horizontal="center"/>
    </xf>
    <xf numFmtId="0" fontId="12" fillId="0" borderId="16" xfId="0" applyFont="1" applyBorder="1"/>
    <xf numFmtId="164" fontId="12" fillId="3" borderId="17" xfId="0" applyNumberFormat="1" applyFont="1" applyFill="1" applyBorder="1" applyProtection="1"/>
    <xf numFmtId="171" fontId="19" fillId="0" borderId="0" xfId="2" applyNumberFormat="1" applyFont="1" applyFill="1" applyBorder="1" applyProtection="1">
      <protection locked="0"/>
    </xf>
    <xf numFmtId="0" fontId="24" fillId="0" borderId="0" xfId="0" applyFont="1" applyProtection="1"/>
    <xf numFmtId="0" fontId="25" fillId="0" borderId="0" xfId="0" applyFont="1" applyProtection="1"/>
    <xf numFmtId="0" fontId="26" fillId="4" borderId="2" xfId="0" applyFont="1" applyFill="1" applyBorder="1" applyAlignment="1" applyProtection="1">
      <alignment wrapText="1"/>
    </xf>
    <xf numFmtId="0" fontId="25" fillId="4" borderId="3" xfId="0" applyFont="1" applyFill="1" applyBorder="1" applyProtection="1"/>
    <xf numFmtId="0" fontId="25" fillId="4" borderId="4" xfId="0" applyFont="1" applyFill="1" applyBorder="1" applyProtection="1"/>
    <xf numFmtId="0" fontId="25" fillId="0" borderId="5" xfId="0" applyFont="1" applyBorder="1" applyAlignment="1" applyProtection="1"/>
    <xf numFmtId="0" fontId="25" fillId="3" borderId="0" xfId="0" applyFont="1" applyFill="1" applyBorder="1" applyProtection="1"/>
    <xf numFmtId="0" fontId="25" fillId="0" borderId="6" xfId="0" applyFont="1" applyBorder="1" applyProtection="1"/>
    <xf numFmtId="0" fontId="25" fillId="0" borderId="0" xfId="0" applyFont="1" applyBorder="1" applyProtection="1"/>
    <xf numFmtId="0" fontId="25" fillId="0" borderId="5" xfId="0" applyFont="1" applyBorder="1" applyAlignment="1" applyProtection="1">
      <alignment horizontal="left" vertical="top" wrapText="1"/>
    </xf>
    <xf numFmtId="2" fontId="25" fillId="0" borderId="0" xfId="0" applyNumberFormat="1" applyFont="1" applyFill="1" applyBorder="1" applyProtection="1">
      <protection locked="0"/>
    </xf>
    <xf numFmtId="0" fontId="25" fillId="0" borderId="9" xfId="0" applyFont="1" applyBorder="1" applyAlignment="1" applyProtection="1"/>
    <xf numFmtId="0" fontId="25" fillId="0" borderId="10" xfId="0" applyFont="1" applyFill="1" applyBorder="1" applyProtection="1">
      <protection locked="0"/>
    </xf>
    <xf numFmtId="0" fontId="25" fillId="0" borderId="11" xfId="0" applyFont="1" applyBorder="1" applyProtection="1"/>
    <xf numFmtId="0" fontId="25" fillId="0" borderId="0" xfId="0" applyFont="1" applyAlignment="1" applyProtection="1">
      <alignment wrapText="1"/>
    </xf>
    <xf numFmtId="0" fontId="27" fillId="4" borderId="2" xfId="0" applyFont="1" applyFill="1" applyBorder="1" applyAlignment="1" applyProtection="1">
      <alignment horizontal="left" wrapText="1"/>
    </xf>
    <xf numFmtId="164" fontId="27" fillId="4" borderId="4" xfId="0" applyNumberFormat="1" applyFont="1" applyFill="1" applyBorder="1" applyAlignment="1" applyProtection="1">
      <alignment horizontal="left"/>
    </xf>
    <xf numFmtId="0" fontId="28" fillId="0" borderId="9" xfId="0" applyFont="1" applyBorder="1" applyAlignment="1" applyProtection="1">
      <alignment horizontal="left" wrapText="1"/>
    </xf>
    <xf numFmtId="6" fontId="28" fillId="3" borderId="11" xfId="0" applyNumberFormat="1" applyFont="1" applyFill="1" applyBorder="1" applyProtection="1"/>
    <xf numFmtId="0" fontId="25" fillId="0" borderId="5" xfId="0" applyFont="1" applyBorder="1" applyAlignment="1" applyProtection="1">
      <alignment wrapText="1"/>
    </xf>
    <xf numFmtId="172" fontId="25" fillId="3" borderId="6" xfId="0" applyNumberFormat="1" applyFont="1" applyFill="1" applyBorder="1" applyProtection="1"/>
    <xf numFmtId="0" fontId="25" fillId="0" borderId="9" xfId="0" applyFont="1" applyBorder="1" applyAlignment="1" applyProtection="1">
      <alignment wrapText="1"/>
    </xf>
    <xf numFmtId="6" fontId="25" fillId="3" borderId="11" xfId="0" applyNumberFormat="1" applyFont="1" applyFill="1" applyBorder="1" applyProtection="1"/>
    <xf numFmtId="0" fontId="27" fillId="4" borderId="4" xfId="0" applyFont="1" applyFill="1" applyBorder="1" applyAlignment="1" applyProtection="1">
      <alignment horizontal="left"/>
    </xf>
    <xf numFmtId="0" fontId="28" fillId="0" borderId="5" xfId="0" applyFont="1" applyBorder="1" applyAlignment="1" applyProtection="1">
      <alignment horizontal="left" wrapText="1"/>
    </xf>
    <xf numFmtId="6" fontId="28" fillId="3" borderId="6" xfId="0" applyNumberFormat="1" applyFont="1" applyFill="1" applyBorder="1" applyProtection="1"/>
    <xf numFmtId="0" fontId="28" fillId="0" borderId="0" xfId="0" applyFont="1" applyBorder="1" applyAlignment="1" applyProtection="1">
      <alignment wrapText="1"/>
    </xf>
    <xf numFmtId="0" fontId="28" fillId="0" borderId="0" xfId="0" applyFont="1" applyBorder="1" applyAlignment="1" applyProtection="1">
      <alignment horizontal="right"/>
    </xf>
    <xf numFmtId="3" fontId="25" fillId="0" borderId="0" xfId="0" applyNumberFormat="1" applyFont="1" applyBorder="1" applyProtection="1"/>
    <xf numFmtId="3" fontId="28" fillId="0" borderId="0" xfId="0" applyNumberFormat="1" applyFont="1" applyBorder="1" applyAlignment="1" applyProtection="1">
      <alignment horizontal="right"/>
    </xf>
    <xf numFmtId="0" fontId="28" fillId="0" borderId="0" xfId="0" applyFont="1" applyBorder="1" applyProtection="1"/>
    <xf numFmtId="3" fontId="28" fillId="0" borderId="0" xfId="0" applyNumberFormat="1" applyFont="1" applyBorder="1" applyProtection="1"/>
    <xf numFmtId="0" fontId="28" fillId="0" borderId="0" xfId="0" applyFont="1" applyProtection="1"/>
    <xf numFmtId="165" fontId="28" fillId="0" borderId="0" xfId="0" applyNumberFormat="1" applyFont="1" applyFill="1" applyBorder="1" applyProtection="1"/>
    <xf numFmtId="165" fontId="28" fillId="0" borderId="0" xfId="0" applyNumberFormat="1" applyFont="1" applyBorder="1" applyProtection="1"/>
    <xf numFmtId="0" fontId="28" fillId="0" borderId="1" xfId="0" applyFont="1" applyBorder="1" applyAlignment="1" applyProtection="1">
      <alignment wrapText="1"/>
    </xf>
    <xf numFmtId="0" fontId="28" fillId="0" borderId="1" xfId="0" applyFont="1" applyBorder="1" applyAlignment="1" applyProtection="1">
      <alignment horizontal="right"/>
    </xf>
    <xf numFmtId="3" fontId="28" fillId="0" borderId="1" xfId="0" applyNumberFormat="1" applyFont="1" applyBorder="1" applyAlignment="1" applyProtection="1">
      <alignment horizontal="center"/>
    </xf>
    <xf numFmtId="3" fontId="29" fillId="0" borderId="0" xfId="0" applyNumberFormat="1" applyFont="1" applyBorder="1" applyProtection="1"/>
    <xf numFmtId="0" fontId="27" fillId="4" borderId="19" xfId="0" applyFont="1" applyFill="1" applyBorder="1" applyAlignment="1" applyProtection="1">
      <alignment horizontal="left" wrapText="1"/>
    </xf>
    <xf numFmtId="0" fontId="30" fillId="4" borderId="19" xfId="0" applyFont="1" applyFill="1" applyBorder="1" applyAlignment="1" applyProtection="1">
      <alignment horizontal="center" wrapText="1"/>
    </xf>
    <xf numFmtId="3" fontId="27" fillId="4" borderId="1" xfId="0" applyNumberFormat="1" applyFont="1" applyFill="1" applyBorder="1" applyAlignment="1" applyProtection="1">
      <alignment horizontal="center" wrapText="1"/>
    </xf>
    <xf numFmtId="0" fontId="27" fillId="4" borderId="19" xfId="0" applyFont="1" applyFill="1" applyBorder="1" applyAlignment="1" applyProtection="1">
      <alignment horizontal="center" wrapText="1"/>
    </xf>
    <xf numFmtId="3" fontId="27" fillId="4" borderId="19" xfId="0" applyNumberFormat="1" applyFont="1" applyFill="1" applyBorder="1" applyAlignment="1" applyProtection="1">
      <alignment horizontal="center" wrapText="1"/>
    </xf>
    <xf numFmtId="0" fontId="28" fillId="0" borderId="0" xfId="0" applyFont="1" applyBorder="1" applyAlignment="1" applyProtection="1">
      <alignment wrapText="1"/>
      <protection locked="0"/>
    </xf>
    <xf numFmtId="0" fontId="31" fillId="0" borderId="0" xfId="0" applyFont="1" applyBorder="1" applyAlignment="1" applyProtection="1">
      <alignment horizontal="center"/>
      <protection locked="0"/>
    </xf>
    <xf numFmtId="4" fontId="28" fillId="0" borderId="0" xfId="0" applyNumberFormat="1" applyFont="1" applyFill="1" applyBorder="1" applyProtection="1">
      <protection locked="0"/>
    </xf>
    <xf numFmtId="0" fontId="28" fillId="0" borderId="0" xfId="0" applyFont="1" applyBorder="1" applyAlignment="1" applyProtection="1">
      <alignment horizontal="right"/>
      <protection locked="0"/>
    </xf>
    <xf numFmtId="170" fontId="28" fillId="0" borderId="0" xfId="0" applyNumberFormat="1" applyFont="1" applyFill="1" applyBorder="1" applyProtection="1">
      <protection locked="0"/>
    </xf>
    <xf numFmtId="169" fontId="28" fillId="3" borderId="0" xfId="0" applyNumberFormat="1" applyFont="1" applyFill="1" applyBorder="1" applyProtection="1"/>
    <xf numFmtId="170" fontId="28" fillId="3" borderId="0" xfId="0" applyNumberFormat="1" applyFont="1" applyFill="1" applyBorder="1" applyProtection="1"/>
    <xf numFmtId="166" fontId="28" fillId="0" borderId="0" xfId="0" applyNumberFormat="1" applyFont="1" applyFill="1" applyBorder="1" applyProtection="1"/>
    <xf numFmtId="0" fontId="28" fillId="0" borderId="0" xfId="0" applyFont="1" applyFill="1" applyBorder="1" applyAlignment="1" applyProtection="1">
      <alignment horizontal="right"/>
      <protection locked="0"/>
    </xf>
    <xf numFmtId="2" fontId="28" fillId="0" borderId="0" xfId="0" applyNumberFormat="1" applyFont="1" applyBorder="1" applyProtection="1"/>
    <xf numFmtId="0" fontId="25" fillId="0" borderId="0" xfId="0" applyFont="1" applyProtection="1">
      <protection locked="0"/>
    </xf>
    <xf numFmtId="3" fontId="28" fillId="0" borderId="0" xfId="0" applyNumberFormat="1" applyFont="1" applyBorder="1" applyProtection="1">
      <protection locked="0"/>
    </xf>
    <xf numFmtId="0" fontId="28" fillId="0" borderId="0" xfId="0" applyFont="1" applyProtection="1">
      <protection locked="0"/>
    </xf>
    <xf numFmtId="0" fontId="28" fillId="0" borderId="0" xfId="0" applyFont="1" applyBorder="1" applyProtection="1">
      <protection locked="0"/>
    </xf>
    <xf numFmtId="167" fontId="28" fillId="0" borderId="0" xfId="0" applyNumberFormat="1" applyFont="1" applyFill="1" applyBorder="1" applyProtection="1">
      <protection locked="0"/>
    </xf>
    <xf numFmtId="3" fontId="28" fillId="0" borderId="0" xfId="0" applyNumberFormat="1" applyFont="1" applyFill="1" applyBorder="1" applyProtection="1">
      <protection locked="0"/>
    </xf>
    <xf numFmtId="2" fontId="28" fillId="0" borderId="0" xfId="0" applyNumberFormat="1" applyFont="1" applyFill="1" applyBorder="1" applyProtection="1">
      <protection locked="0"/>
    </xf>
    <xf numFmtId="1" fontId="28" fillId="0" borderId="0" xfId="0" applyNumberFormat="1" applyFont="1" applyFill="1" applyBorder="1" applyProtection="1">
      <protection locked="0"/>
    </xf>
    <xf numFmtId="0" fontId="28" fillId="0" borderId="0" xfId="0" applyFont="1" applyAlignment="1" applyProtection="1">
      <alignment horizontal="right"/>
      <protection locked="0"/>
    </xf>
    <xf numFmtId="0" fontId="30" fillId="0" borderId="19" xfId="0" applyFont="1" applyBorder="1" applyAlignment="1" applyProtection="1">
      <alignment horizontal="left" wrapText="1"/>
    </xf>
    <xf numFmtId="0" fontId="31" fillId="0" borderId="19" xfId="0" applyFont="1" applyBorder="1" applyAlignment="1" applyProtection="1">
      <alignment horizontal="center"/>
    </xf>
    <xf numFmtId="0" fontId="31" fillId="0" borderId="19" xfId="0" applyFont="1" applyBorder="1" applyProtection="1"/>
    <xf numFmtId="0" fontId="31" fillId="0" borderId="19" xfId="0" applyFont="1" applyBorder="1" applyAlignment="1" applyProtection="1">
      <alignment horizontal="right"/>
    </xf>
    <xf numFmtId="2" fontId="31" fillId="0" borderId="19" xfId="0" applyNumberFormat="1" applyFont="1" applyBorder="1" applyProtection="1"/>
    <xf numFmtId="6" fontId="30" fillId="3" borderId="19" xfId="0" applyNumberFormat="1" applyFont="1" applyFill="1" applyBorder="1" applyProtection="1"/>
    <xf numFmtId="164" fontId="28" fillId="0" borderId="19" xfId="0" applyNumberFormat="1" applyFont="1" applyBorder="1" applyProtection="1"/>
    <xf numFmtId="169" fontId="28" fillId="3" borderId="19" xfId="0" applyNumberFormat="1" applyFont="1" applyFill="1" applyBorder="1" applyProtection="1"/>
    <xf numFmtId="0" fontId="30" fillId="0" borderId="0" xfId="0" applyFont="1" applyBorder="1" applyAlignment="1" applyProtection="1">
      <alignment horizontal="left" wrapText="1"/>
    </xf>
    <xf numFmtId="0" fontId="31" fillId="0" borderId="0" xfId="0" applyFont="1" applyBorder="1" applyAlignment="1" applyProtection="1">
      <alignment horizontal="center"/>
    </xf>
    <xf numFmtId="3" fontId="28" fillId="0" borderId="1" xfId="0" applyNumberFormat="1" applyFont="1" applyBorder="1" applyProtection="1"/>
    <xf numFmtId="2" fontId="28" fillId="0" borderId="1" xfId="0" applyNumberFormat="1" applyFont="1" applyBorder="1" applyProtection="1"/>
    <xf numFmtId="3" fontId="30" fillId="0" borderId="1" xfId="0" applyNumberFormat="1" applyFont="1" applyBorder="1" applyProtection="1"/>
    <xf numFmtId="0" fontId="27" fillId="0" borderId="0" xfId="0" applyFont="1" applyFill="1" applyBorder="1" applyAlignment="1" applyProtection="1">
      <alignment horizontal="center"/>
    </xf>
    <xf numFmtId="3" fontId="28" fillId="0" borderId="0" xfId="0" applyNumberFormat="1" applyFont="1" applyFill="1" applyBorder="1" applyProtection="1"/>
    <xf numFmtId="0" fontId="27" fillId="0" borderId="0" xfId="0" applyFont="1" applyBorder="1" applyProtection="1"/>
    <xf numFmtId="0" fontId="30" fillId="0" borderId="19" xfId="0" applyFont="1" applyBorder="1" applyAlignment="1" applyProtection="1">
      <alignment horizontal="left"/>
    </xf>
    <xf numFmtId="0" fontId="28" fillId="0" borderId="19" xfId="0" applyFont="1" applyBorder="1" applyProtection="1"/>
    <xf numFmtId="0" fontId="30" fillId="0" borderId="19" xfId="0" applyFont="1" applyBorder="1" applyProtection="1"/>
    <xf numFmtId="0" fontId="30" fillId="0" borderId="19" xfId="0" applyFont="1" applyBorder="1" applyAlignment="1" applyProtection="1">
      <alignment horizontal="right"/>
    </xf>
    <xf numFmtId="174" fontId="30" fillId="0" borderId="19" xfId="0" applyNumberFormat="1" applyFont="1" applyFill="1" applyBorder="1" applyProtection="1"/>
    <xf numFmtId="0" fontId="31" fillId="0" borderId="0" xfId="0" quotePrefix="1" applyFont="1" applyBorder="1" applyAlignment="1" applyProtection="1">
      <alignment horizontal="center"/>
    </xf>
    <xf numFmtId="3" fontId="28" fillId="3" borderId="0" xfId="0" applyNumberFormat="1" applyFont="1" applyFill="1" applyBorder="1" applyProtection="1"/>
    <xf numFmtId="168" fontId="28" fillId="2" borderId="0" xfId="1" applyNumberFormat="1" applyFont="1" applyFill="1" applyBorder="1" applyProtection="1"/>
    <xf numFmtId="0" fontId="28" fillId="0" borderId="0" xfId="0" applyFont="1" applyFill="1" applyBorder="1" applyAlignment="1" applyProtection="1">
      <alignment horizontal="right"/>
    </xf>
    <xf numFmtId="168" fontId="28" fillId="0" borderId="0" xfId="1" applyNumberFormat="1" applyFont="1" applyFill="1" applyBorder="1" applyProtection="1"/>
    <xf numFmtId="0" fontId="30" fillId="0" borderId="19" xfId="0" applyFont="1" applyBorder="1" applyAlignment="1" applyProtection="1">
      <alignment wrapText="1"/>
    </xf>
    <xf numFmtId="4" fontId="30" fillId="0" borderId="19" xfId="0" applyNumberFormat="1" applyFont="1" applyFill="1" applyBorder="1" applyProtection="1"/>
    <xf numFmtId="8" fontId="30" fillId="3" borderId="19" xfId="0" applyNumberFormat="1" applyFont="1" applyFill="1" applyBorder="1" applyProtection="1"/>
    <xf numFmtId="164" fontId="30" fillId="3" borderId="19" xfId="0" applyNumberFormat="1" applyFont="1" applyFill="1" applyBorder="1" applyProtection="1"/>
    <xf numFmtId="3" fontId="30" fillId="0" borderId="19" xfId="0" applyNumberFormat="1" applyFont="1" applyFill="1" applyBorder="1" applyProtection="1"/>
    <xf numFmtId="2" fontId="30" fillId="0" borderId="19" xfId="0" applyNumberFormat="1" applyFont="1" applyBorder="1" applyProtection="1"/>
    <xf numFmtId="0" fontId="27" fillId="0" borderId="19" xfId="0" applyFont="1" applyBorder="1" applyAlignment="1" applyProtection="1">
      <alignment wrapText="1"/>
    </xf>
    <xf numFmtId="170" fontId="28" fillId="0" borderId="0" xfId="1" applyNumberFormat="1" applyFont="1" applyFill="1" applyBorder="1" applyProtection="1">
      <protection locked="0"/>
    </xf>
    <xf numFmtId="2" fontId="28" fillId="0" borderId="0" xfId="0" applyNumberFormat="1" applyFont="1" applyFill="1" applyBorder="1" applyProtection="1"/>
    <xf numFmtId="0" fontId="28" fillId="0" borderId="0" xfId="0" applyFont="1" applyBorder="1" applyAlignment="1" applyProtection="1">
      <alignment horizontal="center"/>
      <protection locked="0"/>
    </xf>
    <xf numFmtId="170" fontId="28" fillId="0" borderId="0" xfId="0" applyNumberFormat="1" applyFont="1" applyBorder="1" applyProtection="1">
      <protection locked="0"/>
    </xf>
    <xf numFmtId="0" fontId="28" fillId="0" borderId="19" xfId="0" applyFont="1" applyBorder="1" applyAlignment="1" applyProtection="1">
      <alignment wrapText="1"/>
    </xf>
    <xf numFmtId="38" fontId="28" fillId="0" borderId="0" xfId="0" applyNumberFormat="1" applyFont="1" applyFill="1" applyBorder="1" applyProtection="1"/>
    <xf numFmtId="0" fontId="28" fillId="0" borderId="0" xfId="0" applyFont="1" applyFill="1" applyBorder="1" applyProtection="1"/>
    <xf numFmtId="164" fontId="28" fillId="0" borderId="0" xfId="0" applyNumberFormat="1" applyFont="1" applyFill="1" applyBorder="1" applyProtection="1"/>
    <xf numFmtId="0" fontId="28" fillId="0" borderId="0" xfId="0" applyFont="1" applyAlignment="1" applyProtection="1">
      <alignment wrapText="1"/>
    </xf>
    <xf numFmtId="2" fontId="28" fillId="0" borderId="0" xfId="0" applyNumberFormat="1" applyFont="1" applyFill="1" applyBorder="1" applyAlignment="1" applyProtection="1">
      <alignment horizontal="right"/>
    </xf>
    <xf numFmtId="164" fontId="25" fillId="0" borderId="0" xfId="0" applyNumberFormat="1" applyFont="1" applyProtection="1"/>
    <xf numFmtId="0" fontId="4" fillId="0" borderId="5" xfId="0" applyFont="1" applyBorder="1"/>
    <xf numFmtId="0" fontId="4" fillId="0" borderId="5" xfId="0" applyFont="1" applyBorder="1" applyAlignment="1" applyProtection="1">
      <alignment wrapText="1"/>
      <protection locked="0"/>
    </xf>
    <xf numFmtId="164" fontId="4" fillId="0" borderId="0" xfId="0" applyNumberFormat="1" applyFont="1" applyBorder="1" applyProtection="1">
      <protection locked="0"/>
    </xf>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3</xdr:col>
      <xdr:colOff>320040</xdr:colOff>
      <xdr:row>2</xdr:row>
      <xdr:rowOff>83820</xdr:rowOff>
    </xdr:from>
    <xdr:ext cx="2381249" cy="1257300"/>
    <xdr:sp macro="" textlink="">
      <xdr:nvSpPr>
        <xdr:cNvPr id="3" name="textruta 2"/>
        <xdr:cNvSpPr txBox="1"/>
      </xdr:nvSpPr>
      <xdr:spPr>
        <a:xfrm>
          <a:off x="4907280" y="65532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161925</xdr:colOff>
      <xdr:row>0</xdr:row>
      <xdr:rowOff>295275</xdr:rowOff>
    </xdr:from>
    <xdr:ext cx="7267575" cy="18802350"/>
    <xdr:sp macro="" textlink="">
      <xdr:nvSpPr>
        <xdr:cNvPr id="4" name="textruta 3">
          <a:extLst>
            <a:ext uri="{FF2B5EF4-FFF2-40B4-BE49-F238E27FC236}">
              <a16:creationId xmlns:a16="http://schemas.microsoft.com/office/drawing/2014/main" id="{00000000-0008-0000-0600-000004000000}"/>
            </a:ext>
          </a:extLst>
        </xdr:cNvPr>
        <xdr:cNvSpPr txBox="1"/>
      </xdr:nvSpPr>
      <xdr:spPr>
        <a:xfrm>
          <a:off x="13306425" y="295275"/>
          <a:ext cx="7267575" cy="18802350"/>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Dikor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antal</a:t>
          </a:r>
          <a:r>
            <a:rPr lang="sv-SE" sz="1100" b="0" baseline="0">
              <a:solidFill>
                <a:schemeClr val="tx1"/>
              </a:solidFill>
              <a:effectLst/>
              <a:latin typeface="Cambria" panose="02040503050406030204" pitchFamily="18" charset="0"/>
              <a:ea typeface="+mn-ea"/>
              <a:cs typeface="+mn-cs"/>
            </a:rPr>
            <a:t> sålda kalvar per dikor och år. </a:t>
          </a:r>
        </a:p>
        <a:p>
          <a:pPr eaLnBrk="1" fontAlgn="auto" latinLnBrk="0" hangingPunct="1"/>
          <a:r>
            <a:rPr lang="sv-SE" sz="1100" b="0" baseline="0">
              <a:solidFill>
                <a:schemeClr val="tx1"/>
              </a:solidFill>
              <a:effectLst/>
              <a:latin typeface="Cambria" panose="02040503050406030204" pitchFamily="18" charset="0"/>
              <a:ea typeface="+mn-ea"/>
              <a:cs typeface="+mn-cs"/>
            </a:rPr>
            <a:t>Ange hur många månader det tar att föda upp en kalv till rekryteringskviga. Denna uppgift används för att beräkna kapitalbindningen i den särskilda kalkylen för rekryteringskviga.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Utslagsko</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dikorna slås ut på årsbasis blir kvantiteten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a:effectLst/>
            <a:latin typeface="Cambria" panose="020405030504060302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Undvik dubbelberäkningar genom att djurrelaterade stöd räknas som intäkt i djurkalkylen samtidigt som de minskar kostnaden för egenproducerat foder. För stöd som integrerar djurhållning och odling ska du redovisa hur detta beaktats i noten till kalkylposten.</a:t>
          </a:r>
          <a:endParaRPr lang="sv-SE">
            <a:effectLst/>
            <a:latin typeface="Cambria" panose="02040503050406030204" pitchFamily="18" charset="0"/>
          </a:endParaRP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eaLnBrk="1" fontAlgn="auto" latinLnBrk="0" hangingPunct="1"/>
          <a:r>
            <a:rPr lang="sv-SE" sz="1100" b="0" i="0" baseline="0">
              <a:solidFill>
                <a:schemeClr val="tx1"/>
              </a:solidFill>
              <a:effectLst/>
              <a:latin typeface="Cambria" panose="02040503050406030204" pitchFamily="18" charset="0"/>
              <a:ea typeface="+mn-ea"/>
              <a:cs typeface="+mn-cs"/>
            </a:rPr>
            <a:t>Du får räkna med ersättning för att djuret håller betesmarkerna öppna. Detta beaktas genom att redovisa "netto bete" eller "skötselersättning" för djuren som betar. </a:t>
          </a:r>
          <a:r>
            <a:rPr lang="sv-SE" sz="1100" b="0" baseline="0">
              <a:solidFill>
                <a:schemeClr val="tx1"/>
              </a:solidFill>
              <a:effectLst/>
              <a:latin typeface="Cambria" panose="02040503050406030204" pitchFamily="18" charset="0"/>
              <a:ea typeface="+mn-ea"/>
              <a:cs typeface="+mn-cs"/>
            </a:rPr>
            <a:t>Om nettot är negativt skriver du 0 kr på intäktsraden och lägger istället till en ny rad under kostnader.</a:t>
          </a:r>
          <a:r>
            <a:rPr lang="sv-SE" sz="1100" b="0" i="0" baseline="0">
              <a:solidFill>
                <a:schemeClr val="tx1"/>
              </a:solidFill>
              <a:effectLst/>
              <a:latin typeface="Cambria" panose="02040503050406030204" pitchFamily="18" charset="0"/>
              <a:ea typeface="+mn-ea"/>
              <a:cs typeface="+mn-cs"/>
            </a:rPr>
            <a:t> Betesnettot redovisar du som en särskild kalkyl för företagets betesmarker och/eller via en ersättningsnivå för uthyrning av betesdjur i området.</a:t>
          </a: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Observera att investeringsstödet beaktas i fliken investeringskalkyl.</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Rekryteringskviga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Kostnaden</a:t>
          </a:r>
          <a:r>
            <a:rPr lang="sv-SE" sz="1100" b="0" baseline="0">
              <a:solidFill>
                <a:schemeClr val="tx1"/>
              </a:solidFill>
              <a:effectLst/>
              <a:latin typeface="Cambria" panose="02040503050406030204" pitchFamily="18" charset="0"/>
              <a:ea typeface="+mn-ea"/>
              <a:cs typeface="+mn-cs"/>
            </a:rPr>
            <a:t> för en rekryteringskviga från egen uppfödning beräknas i en särskild kalkyl  på denna flik "Rekryteringskviga". Här ska du inte ange kostnad per år, utan den totala kostnaden för hela uppfödningstiden.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4581525"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38</v>
      </c>
    </row>
    <row r="2" spans="1:1" x14ac:dyDescent="0.3">
      <c r="A2" s="1"/>
    </row>
  </sheetData>
  <pageMargins left="0.7" right="0.7" top="0.75" bottom="0.75" header="0.3" footer="0.3"/>
  <pageSetup paperSize="9"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79"/>
  <sheetViews>
    <sheetView tabSelected="1" zoomScaleNormal="100" workbookViewId="0">
      <selection activeCell="D5" sqref="D5"/>
    </sheetView>
  </sheetViews>
  <sheetFormatPr defaultColWidth="9.109375" defaultRowHeight="13.8" x14ac:dyDescent="0.25"/>
  <cols>
    <col min="1" max="1" width="38.44140625" style="13" customWidth="1"/>
    <col min="2" max="2" width="16.44140625" style="13" bestFit="1" customWidth="1"/>
    <col min="3" max="3" width="12" style="13" customWidth="1"/>
    <col min="4" max="4" width="10.44140625" style="13" customWidth="1"/>
    <col min="5" max="5" width="14" style="13" bestFit="1" customWidth="1"/>
    <col min="6" max="6" width="16.33203125" style="13" bestFit="1" customWidth="1"/>
    <col min="7" max="16384" width="9.109375" style="13"/>
  </cols>
  <sheetData>
    <row r="1" spans="1:7" ht="27.6" x14ac:dyDescent="0.45">
      <c r="A1" s="12" t="s">
        <v>90</v>
      </c>
    </row>
    <row r="2" spans="1:7" ht="17.399999999999999" x14ac:dyDescent="0.3">
      <c r="A2" s="14" t="s">
        <v>157</v>
      </c>
    </row>
    <row r="3" spans="1:7" ht="14.4" thickBot="1" x14ac:dyDescent="0.3">
      <c r="A3" s="15"/>
    </row>
    <row r="4" spans="1:7" x14ac:dyDescent="0.25">
      <c r="A4" s="16" t="s">
        <v>35</v>
      </c>
      <c r="B4" s="17"/>
      <c r="C4" s="18"/>
      <c r="D4" s="19"/>
      <c r="F4" s="20"/>
      <c r="G4" s="20"/>
    </row>
    <row r="5" spans="1:7" x14ac:dyDescent="0.25">
      <c r="A5" s="21" t="s">
        <v>37</v>
      </c>
      <c r="B5" s="22" t="s">
        <v>36</v>
      </c>
      <c r="C5" s="22"/>
      <c r="D5" s="23"/>
      <c r="F5" s="20"/>
      <c r="G5" s="20"/>
    </row>
    <row r="6" spans="1:7" ht="27.6" x14ac:dyDescent="0.25">
      <c r="A6" s="24" t="s">
        <v>144</v>
      </c>
      <c r="B6" s="25" t="s">
        <v>145</v>
      </c>
      <c r="C6" s="26"/>
      <c r="D6" s="27"/>
      <c r="E6" s="20"/>
      <c r="F6" s="28"/>
      <c r="G6" s="20"/>
    </row>
    <row r="7" spans="1:7" x14ac:dyDescent="0.25">
      <c r="A7" s="233"/>
      <c r="B7" s="25"/>
      <c r="C7" s="26"/>
      <c r="D7" s="27"/>
      <c r="E7" s="20"/>
      <c r="F7" s="28"/>
      <c r="G7" s="20"/>
    </row>
    <row r="8" spans="1:7" x14ac:dyDescent="0.25">
      <c r="A8" s="233"/>
      <c r="B8" s="25"/>
      <c r="C8" s="26"/>
      <c r="D8" s="27"/>
      <c r="E8" s="20"/>
      <c r="F8" s="28"/>
      <c r="G8" s="20"/>
    </row>
    <row r="9" spans="1:7" x14ac:dyDescent="0.25">
      <c r="A9" s="233"/>
      <c r="B9" s="25"/>
      <c r="C9" s="26"/>
      <c r="D9" s="27"/>
      <c r="E9" s="20"/>
      <c r="F9" s="28"/>
      <c r="G9" s="20"/>
    </row>
    <row r="10" spans="1:7" ht="14.4" thickBot="1" x14ac:dyDescent="0.3">
      <c r="A10" s="29"/>
      <c r="B10" s="30"/>
      <c r="C10" s="30"/>
      <c r="D10" s="31"/>
      <c r="E10" s="32"/>
      <c r="F10" s="32"/>
      <c r="G10" s="32"/>
    </row>
    <row r="11" spans="1:7" x14ac:dyDescent="0.25">
      <c r="A11" s="15"/>
    </row>
    <row r="12" spans="1:7" ht="14.4" thickBot="1" x14ac:dyDescent="0.3">
      <c r="A12" s="33"/>
      <c r="B12" s="34"/>
      <c r="C12" s="33"/>
      <c r="D12" s="33"/>
    </row>
    <row r="13" spans="1:7" x14ac:dyDescent="0.25">
      <c r="A13" s="35" t="s">
        <v>96</v>
      </c>
      <c r="B13" s="36" t="s">
        <v>91</v>
      </c>
      <c r="C13" s="37" t="s">
        <v>32</v>
      </c>
      <c r="D13" s="38"/>
    </row>
    <row r="14" spans="1:7" x14ac:dyDescent="0.25">
      <c r="A14" s="39" t="s">
        <v>33</v>
      </c>
      <c r="B14" s="40">
        <v>120</v>
      </c>
      <c r="C14" s="41" t="s">
        <v>42</v>
      </c>
      <c r="D14" s="20"/>
    </row>
    <row r="15" spans="1:7" x14ac:dyDescent="0.25">
      <c r="A15" s="42" t="s">
        <v>92</v>
      </c>
      <c r="B15" s="43">
        <f>C38</f>
        <v>1889</v>
      </c>
      <c r="C15" s="44" t="s">
        <v>1</v>
      </c>
    </row>
    <row r="16" spans="1:7" ht="28.5" customHeight="1" x14ac:dyDescent="0.25">
      <c r="A16" s="45" t="s">
        <v>93</v>
      </c>
      <c r="B16" s="43">
        <f>C39+C40+C41</f>
        <v>95</v>
      </c>
      <c r="C16" s="44" t="s">
        <v>1</v>
      </c>
      <c r="D16" s="20"/>
    </row>
    <row r="17" spans="1:6" x14ac:dyDescent="0.25">
      <c r="A17" s="46" t="s">
        <v>94</v>
      </c>
      <c r="B17" s="47"/>
      <c r="C17" s="48" t="s">
        <v>1</v>
      </c>
      <c r="D17" s="20"/>
    </row>
    <row r="18" spans="1:6" ht="14.4" thickBot="1" x14ac:dyDescent="0.3">
      <c r="A18" s="49" t="s">
        <v>0</v>
      </c>
      <c r="B18" s="50">
        <f>SUM(B15:B16)</f>
        <v>1984</v>
      </c>
      <c r="C18" s="51" t="s">
        <v>1</v>
      </c>
      <c r="D18" s="32"/>
      <c r="E18" s="32"/>
      <c r="F18" s="32"/>
    </row>
    <row r="19" spans="1:6" x14ac:dyDescent="0.25">
      <c r="A19" s="35" t="s">
        <v>90</v>
      </c>
      <c r="B19" s="36" t="s">
        <v>91</v>
      </c>
      <c r="C19" s="37" t="s">
        <v>32</v>
      </c>
      <c r="D19" s="38"/>
    </row>
    <row r="20" spans="1:6" ht="27.6" x14ac:dyDescent="0.25">
      <c r="A20" s="39" t="s">
        <v>114</v>
      </c>
      <c r="B20" s="52">
        <f>Investeringskalkyl!F70</f>
        <v>7632695.625</v>
      </c>
      <c r="C20" s="53" t="s">
        <v>46</v>
      </c>
      <c r="D20" s="38"/>
    </row>
    <row r="21" spans="1:6" x14ac:dyDescent="0.25">
      <c r="A21" s="39" t="s">
        <v>116</v>
      </c>
      <c r="B21" s="54">
        <f>IF(Investeringskalkyl!$C$14="suggor",#REF!)+IF(Investeringskalkyl!$C$14="slaktgrisar",#REF!)+IF(Investeringskalkyl!$C$14="tackor",#REF!)+IF(Investeringskalkyl!$C$14="dikor",'Driftkalkyl - Dikor'!$B$9)+IF(Investeringskalkyl!$C$14="slaktungnöt",#REF!)+IF(Investeringskalkyl!$C$14="mjölkkor",#REF!)</f>
        <v>263387.79098742839</v>
      </c>
      <c r="C21" s="53" t="s">
        <v>74</v>
      </c>
      <c r="D21" s="38"/>
      <c r="E21" s="55"/>
      <c r="F21" s="56"/>
    </row>
    <row r="22" spans="1:6" ht="27.6" x14ac:dyDescent="0.25">
      <c r="A22" s="39" t="s">
        <v>117</v>
      </c>
      <c r="B22" s="54">
        <f>$B$21+(IF(Investeringskalkyl!$C$14="suggor",#REF!)+IF(Investeringskalkyl!$C$14="slaktgrisar",#REF!)+IF(Investeringskalkyl!$C$14="tackor",#REF!)+IF(Investeringskalkyl!$C$14="dikor",'Driftkalkyl - Dikor'!$H$52)+IF(Investeringskalkyl!$C$14="slaktungnöt",#REF!)+IF(Investeringskalkyl!$C$14="mjölkkor",#REF!))</f>
        <v>998739.1481249996</v>
      </c>
      <c r="C22" s="53" t="s">
        <v>74</v>
      </c>
      <c r="D22" s="38"/>
    </row>
    <row r="23" spans="1:6" ht="27.6" x14ac:dyDescent="0.25">
      <c r="A23" s="39" t="s">
        <v>77</v>
      </c>
      <c r="B23" s="57">
        <v>0.05</v>
      </c>
      <c r="C23" s="53"/>
      <c r="D23" s="38"/>
    </row>
    <row r="24" spans="1:6" x14ac:dyDescent="0.25">
      <c r="A24" s="39" t="s">
        <v>78</v>
      </c>
      <c r="B24" s="57">
        <v>0.01</v>
      </c>
      <c r="C24" s="53" t="s">
        <v>79</v>
      </c>
      <c r="D24" s="38"/>
    </row>
    <row r="25" spans="1:6" x14ac:dyDescent="0.25">
      <c r="A25" s="39" t="s">
        <v>80</v>
      </c>
      <c r="B25" s="58">
        <f>(1+$B$23)/(1+$B$24)-1</f>
        <v>3.9603960396039639E-2</v>
      </c>
      <c r="C25" s="53"/>
      <c r="D25" s="38"/>
    </row>
    <row r="26" spans="1:6" x14ac:dyDescent="0.25">
      <c r="A26" s="39" t="s">
        <v>72</v>
      </c>
      <c r="B26" s="59">
        <v>15</v>
      </c>
      <c r="C26" s="53" t="s">
        <v>73</v>
      </c>
      <c r="D26" s="38"/>
    </row>
    <row r="27" spans="1:6" ht="27.6" x14ac:dyDescent="0.25">
      <c r="A27" s="39" t="s">
        <v>139</v>
      </c>
      <c r="B27" s="60">
        <f>($B$22*((1-(1+$B$25)^(-$B$26))/$B$25))</f>
        <v>11135183.032502225</v>
      </c>
      <c r="C27" s="53" t="s">
        <v>74</v>
      </c>
      <c r="D27" s="38"/>
    </row>
    <row r="28" spans="1:6" ht="14.4" thickBot="1" x14ac:dyDescent="0.3">
      <c r="A28" s="61" t="s">
        <v>112</v>
      </c>
      <c r="B28" s="62">
        <f>-$B$20+($B$22*((1-(1+$B$25)^(-$B$26))/$B$25))</f>
        <v>3502487.4075022247</v>
      </c>
      <c r="C28" s="63" t="s">
        <v>46</v>
      </c>
      <c r="D28" s="38"/>
    </row>
    <row r="29" spans="1:6" x14ac:dyDescent="0.25">
      <c r="A29" s="64"/>
      <c r="B29" s="65"/>
      <c r="C29" s="66"/>
      <c r="D29" s="38"/>
    </row>
    <row r="30" spans="1:6" ht="14.4" thickBot="1" x14ac:dyDescent="0.3">
      <c r="A30" s="64"/>
      <c r="B30" s="64"/>
      <c r="C30" s="66"/>
      <c r="D30" s="38"/>
    </row>
    <row r="31" spans="1:6" ht="15" x14ac:dyDescent="0.25">
      <c r="A31" s="67" t="s">
        <v>95</v>
      </c>
      <c r="B31" s="68"/>
      <c r="C31" s="68"/>
      <c r="D31" s="68"/>
      <c r="E31" s="68"/>
      <c r="F31" s="69"/>
    </row>
    <row r="32" spans="1:6" s="74" customFormat="1" ht="15" x14ac:dyDescent="0.25">
      <c r="A32" s="70" t="s">
        <v>2</v>
      </c>
      <c r="B32" s="71" t="s">
        <v>6</v>
      </c>
      <c r="C32" s="72" t="s">
        <v>5</v>
      </c>
      <c r="D32" s="72" t="s">
        <v>32</v>
      </c>
      <c r="E32" s="72" t="s">
        <v>4</v>
      </c>
      <c r="F32" s="73" t="s">
        <v>3</v>
      </c>
    </row>
    <row r="33" spans="1:6" x14ac:dyDescent="0.25">
      <c r="A33" s="75" t="s">
        <v>7</v>
      </c>
      <c r="B33" s="76"/>
      <c r="C33" s="77"/>
      <c r="D33" s="77"/>
      <c r="E33" s="78"/>
      <c r="F33" s="79"/>
    </row>
    <row r="34" spans="1:6" x14ac:dyDescent="0.25">
      <c r="A34" s="42" t="s">
        <v>26</v>
      </c>
      <c r="B34" s="76">
        <v>1</v>
      </c>
      <c r="C34" s="77">
        <v>2500</v>
      </c>
      <c r="D34" s="77" t="s">
        <v>1</v>
      </c>
      <c r="E34" s="78">
        <v>178</v>
      </c>
      <c r="F34" s="80">
        <f t="shared" ref="F34:F55" si="0">C34*E34</f>
        <v>445000</v>
      </c>
    </row>
    <row r="35" spans="1:6" x14ac:dyDescent="0.25">
      <c r="A35" s="232" t="s">
        <v>159</v>
      </c>
      <c r="B35" s="76">
        <v>2</v>
      </c>
      <c r="C35" s="77">
        <v>2000</v>
      </c>
      <c r="D35" s="77" t="s">
        <v>1</v>
      </c>
      <c r="E35" s="78">
        <v>101</v>
      </c>
      <c r="F35" s="80">
        <f t="shared" si="0"/>
        <v>202000</v>
      </c>
    </row>
    <row r="36" spans="1:6" x14ac:dyDescent="0.25">
      <c r="A36" s="49" t="s">
        <v>28</v>
      </c>
      <c r="B36" s="81"/>
      <c r="C36" s="82"/>
      <c r="D36" s="82"/>
      <c r="E36" s="83"/>
      <c r="F36" s="84">
        <f>SUM(F34:F35)</f>
        <v>647000</v>
      </c>
    </row>
    <row r="37" spans="1:6" x14ac:dyDescent="0.25">
      <c r="A37" s="85" t="s">
        <v>8</v>
      </c>
      <c r="B37" s="86"/>
      <c r="C37" s="87"/>
      <c r="D37" s="87"/>
      <c r="E37" s="88"/>
      <c r="F37" s="79"/>
    </row>
    <row r="38" spans="1:6" x14ac:dyDescent="0.25">
      <c r="A38" s="42" t="s">
        <v>9</v>
      </c>
      <c r="B38" s="76">
        <v>3</v>
      </c>
      <c r="C38" s="77">
        <v>1889</v>
      </c>
      <c r="D38" s="77" t="s">
        <v>1</v>
      </c>
      <c r="E38" s="78">
        <v>2700</v>
      </c>
      <c r="F38" s="80">
        <f t="shared" si="0"/>
        <v>5100300</v>
      </c>
    </row>
    <row r="39" spans="1:6" x14ac:dyDescent="0.25">
      <c r="A39" s="42" t="s">
        <v>11</v>
      </c>
      <c r="B39" s="76">
        <v>3</v>
      </c>
      <c r="C39" s="77">
        <v>62</v>
      </c>
      <c r="D39" s="77" t="s">
        <v>1</v>
      </c>
      <c r="E39" s="78">
        <v>2000</v>
      </c>
      <c r="F39" s="80">
        <f t="shared" si="0"/>
        <v>124000</v>
      </c>
    </row>
    <row r="40" spans="1:6" x14ac:dyDescent="0.25">
      <c r="A40" s="42" t="s">
        <v>10</v>
      </c>
      <c r="B40" s="76">
        <v>3</v>
      </c>
      <c r="C40" s="77">
        <v>33</v>
      </c>
      <c r="D40" s="77" t="s">
        <v>1</v>
      </c>
      <c r="E40" s="234">
        <v>8140</v>
      </c>
      <c r="F40" s="80">
        <f t="shared" si="0"/>
        <v>268620</v>
      </c>
    </row>
    <row r="41" spans="1:6" x14ac:dyDescent="0.25">
      <c r="A41" s="42" t="s">
        <v>12</v>
      </c>
      <c r="B41" s="76"/>
      <c r="C41" s="77"/>
      <c r="D41" s="77" t="s">
        <v>1</v>
      </c>
      <c r="E41" s="78"/>
      <c r="F41" s="80">
        <f t="shared" si="0"/>
        <v>0</v>
      </c>
    </row>
    <row r="42" spans="1:6" x14ac:dyDescent="0.25">
      <c r="A42" s="49" t="s">
        <v>158</v>
      </c>
      <c r="B42" s="81"/>
      <c r="C42" s="82"/>
      <c r="D42" s="82"/>
      <c r="E42" s="83"/>
      <c r="F42" s="84">
        <f>SUM(F38:F41)</f>
        <v>5492920</v>
      </c>
    </row>
    <row r="43" spans="1:6" x14ac:dyDescent="0.25">
      <c r="A43" s="85" t="s">
        <v>13</v>
      </c>
      <c r="B43" s="86"/>
      <c r="C43" s="87"/>
      <c r="D43" s="87"/>
      <c r="E43" s="88"/>
      <c r="F43" s="79"/>
    </row>
    <row r="44" spans="1:6" x14ac:dyDescent="0.25">
      <c r="A44" s="42" t="s">
        <v>14</v>
      </c>
      <c r="B44" s="76">
        <v>4</v>
      </c>
      <c r="C44" s="77">
        <v>80</v>
      </c>
      <c r="D44" s="77" t="s">
        <v>148</v>
      </c>
      <c r="E44" s="78">
        <v>180</v>
      </c>
      <c r="F44" s="80">
        <f t="shared" si="0"/>
        <v>14400</v>
      </c>
    </row>
    <row r="45" spans="1:6" x14ac:dyDescent="0.25">
      <c r="A45" s="42" t="s">
        <v>15</v>
      </c>
      <c r="B45" s="76">
        <v>5</v>
      </c>
      <c r="C45" s="77">
        <v>1</v>
      </c>
      <c r="D45" s="77" t="s">
        <v>47</v>
      </c>
      <c r="E45" s="78">
        <v>160000</v>
      </c>
      <c r="F45" s="80">
        <f t="shared" si="0"/>
        <v>160000</v>
      </c>
    </row>
    <row r="46" spans="1:6" x14ac:dyDescent="0.25">
      <c r="A46" s="42" t="s">
        <v>16</v>
      </c>
      <c r="B46" s="76">
        <v>6</v>
      </c>
      <c r="C46" s="77">
        <v>80</v>
      </c>
      <c r="D46" s="77" t="s">
        <v>148</v>
      </c>
      <c r="E46" s="78">
        <v>110</v>
      </c>
      <c r="F46" s="80">
        <f t="shared" si="0"/>
        <v>8800</v>
      </c>
    </row>
    <row r="47" spans="1:6" x14ac:dyDescent="0.25">
      <c r="A47" s="42" t="s">
        <v>17</v>
      </c>
      <c r="B47" s="76">
        <v>7</v>
      </c>
      <c r="C47" s="77">
        <v>1</v>
      </c>
      <c r="D47" s="77" t="s">
        <v>47</v>
      </c>
      <c r="E47" s="78">
        <v>491600</v>
      </c>
      <c r="F47" s="80">
        <f t="shared" si="0"/>
        <v>491600</v>
      </c>
    </row>
    <row r="48" spans="1:6" x14ac:dyDescent="0.25">
      <c r="A48" s="42" t="s">
        <v>18</v>
      </c>
      <c r="B48" s="76">
        <v>8</v>
      </c>
      <c r="C48" s="77"/>
      <c r="D48" s="77" t="s">
        <v>47</v>
      </c>
      <c r="E48" s="78"/>
      <c r="F48" s="80">
        <f t="shared" si="0"/>
        <v>0</v>
      </c>
    </row>
    <row r="49" spans="1:6" x14ac:dyDescent="0.25">
      <c r="A49" s="42" t="s">
        <v>19</v>
      </c>
      <c r="B49" s="76"/>
      <c r="C49" s="77"/>
      <c r="D49" s="77"/>
      <c r="E49" s="78"/>
      <c r="F49" s="80">
        <f t="shared" si="0"/>
        <v>0</v>
      </c>
    </row>
    <row r="50" spans="1:6" x14ac:dyDescent="0.25">
      <c r="A50" s="49" t="s">
        <v>29</v>
      </c>
      <c r="B50" s="81"/>
      <c r="C50" s="82"/>
      <c r="D50" s="82"/>
      <c r="E50" s="83"/>
      <c r="F50" s="84">
        <f>SUM(F44:F49)</f>
        <v>674800</v>
      </c>
    </row>
    <row r="51" spans="1:6" x14ac:dyDescent="0.25">
      <c r="A51" s="85" t="s">
        <v>27</v>
      </c>
      <c r="B51" s="86"/>
      <c r="C51" s="87"/>
      <c r="D51" s="87"/>
      <c r="E51" s="88"/>
      <c r="F51" s="79"/>
    </row>
    <row r="52" spans="1:6" x14ac:dyDescent="0.25">
      <c r="A52" s="232" t="s">
        <v>152</v>
      </c>
      <c r="B52" s="76">
        <v>9</v>
      </c>
      <c r="C52" s="77">
        <v>1</v>
      </c>
      <c r="D52" s="77" t="s">
        <v>47</v>
      </c>
      <c r="E52" s="78">
        <v>637639</v>
      </c>
      <c r="F52" s="80">
        <f t="shared" si="0"/>
        <v>637639</v>
      </c>
    </row>
    <row r="53" spans="1:6" x14ac:dyDescent="0.25">
      <c r="A53" s="232" t="s">
        <v>153</v>
      </c>
      <c r="B53" s="76">
        <v>10</v>
      </c>
      <c r="C53" s="77">
        <v>1</v>
      </c>
      <c r="D53" s="77" t="s">
        <v>47</v>
      </c>
      <c r="E53" s="78">
        <v>126500</v>
      </c>
      <c r="F53" s="80">
        <f t="shared" si="0"/>
        <v>126500</v>
      </c>
    </row>
    <row r="54" spans="1:6" x14ac:dyDescent="0.25">
      <c r="A54" s="232" t="s">
        <v>154</v>
      </c>
      <c r="B54" s="76">
        <v>11</v>
      </c>
      <c r="C54" s="77">
        <v>1</v>
      </c>
      <c r="D54" s="77" t="s">
        <v>47</v>
      </c>
      <c r="E54" s="78">
        <f>374400+(150000*46/500)+100000</f>
        <v>488200</v>
      </c>
      <c r="F54" s="80">
        <f t="shared" si="0"/>
        <v>488200</v>
      </c>
    </row>
    <row r="55" spans="1:6" x14ac:dyDescent="0.25">
      <c r="A55" s="232" t="s">
        <v>155</v>
      </c>
      <c r="B55" s="76">
        <v>12</v>
      </c>
      <c r="C55" s="77">
        <v>1</v>
      </c>
      <c r="D55" s="77" t="s">
        <v>47</v>
      </c>
      <c r="E55" s="78">
        <v>52000</v>
      </c>
      <c r="F55" s="80">
        <f t="shared" si="0"/>
        <v>52000</v>
      </c>
    </row>
    <row r="56" spans="1:6" x14ac:dyDescent="0.25">
      <c r="A56" s="49" t="s">
        <v>30</v>
      </c>
      <c r="B56" s="81"/>
      <c r="C56" s="82"/>
      <c r="D56" s="82"/>
      <c r="E56" s="83"/>
      <c r="F56" s="84">
        <f>SUM(F52:F55)</f>
        <v>1304339</v>
      </c>
    </row>
    <row r="57" spans="1:6" x14ac:dyDescent="0.25">
      <c r="A57" s="85" t="s">
        <v>20</v>
      </c>
      <c r="B57" s="86"/>
      <c r="C57" s="87"/>
      <c r="D57" s="87"/>
      <c r="E57" s="88"/>
      <c r="F57" s="89"/>
    </row>
    <row r="58" spans="1:6" x14ac:dyDescent="0.25">
      <c r="A58" s="42" t="s">
        <v>21</v>
      </c>
      <c r="B58" s="76">
        <v>13</v>
      </c>
      <c r="C58" s="77">
        <v>1</v>
      </c>
      <c r="D58" s="77" t="s">
        <v>47</v>
      </c>
      <c r="E58" s="78">
        <v>271000</v>
      </c>
      <c r="F58" s="80">
        <f t="shared" ref="F58:F62" si="1">C58*E58</f>
        <v>271000</v>
      </c>
    </row>
    <row r="59" spans="1:6" x14ac:dyDescent="0.25">
      <c r="A59" s="42" t="s">
        <v>22</v>
      </c>
      <c r="B59" s="76">
        <v>14</v>
      </c>
      <c r="C59" s="77">
        <v>1</v>
      </c>
      <c r="D59" s="77" t="s">
        <v>47</v>
      </c>
      <c r="E59" s="78">
        <v>64894</v>
      </c>
      <c r="F59" s="80">
        <f t="shared" si="1"/>
        <v>64894</v>
      </c>
    </row>
    <row r="60" spans="1:6" x14ac:dyDescent="0.25">
      <c r="A60" s="42" t="s">
        <v>23</v>
      </c>
      <c r="B60" s="76">
        <v>15</v>
      </c>
      <c r="C60" s="77">
        <v>1</v>
      </c>
      <c r="D60" s="77" t="s">
        <v>47</v>
      </c>
      <c r="E60" s="78">
        <v>33800</v>
      </c>
      <c r="F60" s="80">
        <f t="shared" si="1"/>
        <v>33800</v>
      </c>
    </row>
    <row r="61" spans="1:6" x14ac:dyDescent="0.25">
      <c r="A61" s="42" t="s">
        <v>24</v>
      </c>
      <c r="B61" s="76">
        <v>16</v>
      </c>
      <c r="C61" s="26">
        <v>54</v>
      </c>
      <c r="D61" s="77" t="s">
        <v>148</v>
      </c>
      <c r="E61" s="78">
        <v>94</v>
      </c>
      <c r="F61" s="80">
        <f t="shared" si="1"/>
        <v>5076</v>
      </c>
    </row>
    <row r="62" spans="1:6" x14ac:dyDescent="0.25">
      <c r="A62" s="232" t="s">
        <v>156</v>
      </c>
      <c r="B62" s="76">
        <v>17</v>
      </c>
      <c r="C62" s="77">
        <v>1</v>
      </c>
      <c r="D62" s="77"/>
      <c r="E62" s="78">
        <v>179950</v>
      </c>
      <c r="F62" s="80">
        <f t="shared" si="1"/>
        <v>179950</v>
      </c>
    </row>
    <row r="63" spans="1:6" x14ac:dyDescent="0.25">
      <c r="A63" s="49" t="s">
        <v>31</v>
      </c>
      <c r="B63" s="81"/>
      <c r="C63" s="82"/>
      <c r="D63" s="82"/>
      <c r="E63" s="83"/>
      <c r="F63" s="84">
        <f>SUM(F58:F62)</f>
        <v>554720</v>
      </c>
    </row>
    <row r="64" spans="1:6" x14ac:dyDescent="0.25">
      <c r="A64" s="85" t="s">
        <v>81</v>
      </c>
      <c r="B64" s="86"/>
      <c r="C64" s="87"/>
      <c r="D64" s="87"/>
      <c r="E64" s="88"/>
      <c r="F64" s="89"/>
    </row>
    <row r="65" spans="1:6" x14ac:dyDescent="0.25">
      <c r="A65" s="42" t="s">
        <v>25</v>
      </c>
      <c r="B65" s="76">
        <v>18</v>
      </c>
      <c r="C65" s="90"/>
      <c r="D65" s="77"/>
      <c r="E65" s="78"/>
      <c r="F65" s="80">
        <v>50000</v>
      </c>
    </row>
    <row r="66" spans="1:6" x14ac:dyDescent="0.25">
      <c r="A66" s="42" t="s">
        <v>83</v>
      </c>
      <c r="B66" s="76">
        <v>19</v>
      </c>
      <c r="C66" s="91">
        <f>$B$23</f>
        <v>0.05</v>
      </c>
      <c r="D66" s="77"/>
      <c r="E66" s="78">
        <f>8713330*0.25</f>
        <v>2178332.5</v>
      </c>
      <c r="F66" s="80">
        <f>C66*E66</f>
        <v>108916.625</v>
      </c>
    </row>
    <row r="67" spans="1:6" x14ac:dyDescent="0.25">
      <c r="A67" s="49" t="s">
        <v>82</v>
      </c>
      <c r="B67" s="92"/>
      <c r="C67" s="93"/>
      <c r="D67" s="93"/>
      <c r="E67" s="94"/>
      <c r="F67" s="84">
        <f>SUM(F65:F66)</f>
        <v>158916.625</v>
      </c>
    </row>
    <row r="68" spans="1:6" x14ac:dyDescent="0.25">
      <c r="A68" s="95" t="s">
        <v>140</v>
      </c>
      <c r="B68" s="96"/>
      <c r="C68" s="97"/>
      <c r="D68" s="97"/>
      <c r="E68" s="98"/>
      <c r="F68" s="99">
        <f>$F$36+$F$42+$F$50+$F$56+$F$63+$F$67</f>
        <v>8832695.625</v>
      </c>
    </row>
    <row r="69" spans="1:6" s="105" customFormat="1" x14ac:dyDescent="0.25">
      <c r="A69" s="100" t="s">
        <v>68</v>
      </c>
      <c r="B69" s="101"/>
      <c r="C69" s="102"/>
      <c r="D69" s="102"/>
      <c r="E69" s="103"/>
      <c r="F69" s="104">
        <f>IF(($F$68*0.4)&lt;1200000,-$F$68*0.4,-1200000)</f>
        <v>-1200000</v>
      </c>
    </row>
    <row r="70" spans="1:6" s="20" customFormat="1" x14ac:dyDescent="0.25">
      <c r="A70" s="106" t="s">
        <v>75</v>
      </c>
      <c r="B70" s="92"/>
      <c r="C70" s="107"/>
      <c r="D70" s="107"/>
      <c r="E70" s="108"/>
      <c r="F70" s="109">
        <f>$F$68+$F$69</f>
        <v>7632695.625</v>
      </c>
    </row>
    <row r="71" spans="1:6" s="20" customFormat="1" x14ac:dyDescent="0.25">
      <c r="A71" s="110" t="s">
        <v>69</v>
      </c>
      <c r="B71" s="111"/>
      <c r="C71" s="112"/>
      <c r="D71" s="112"/>
      <c r="E71" s="113"/>
      <c r="F71" s="114">
        <f>$F$68/$B$14</f>
        <v>73605.796875</v>
      </c>
    </row>
    <row r="72" spans="1:6" x14ac:dyDescent="0.25">
      <c r="A72" s="110" t="s">
        <v>76</v>
      </c>
      <c r="B72" s="111"/>
      <c r="C72" s="112"/>
      <c r="D72" s="112"/>
      <c r="E72" s="113"/>
      <c r="F72" s="114">
        <f>($F$68+$F$69)/$B$14</f>
        <v>63605.796875</v>
      </c>
    </row>
    <row r="73" spans="1:6" x14ac:dyDescent="0.25">
      <c r="A73" s="115" t="s">
        <v>34</v>
      </c>
      <c r="B73" s="116">
        <v>20</v>
      </c>
      <c r="C73" s="117"/>
      <c r="D73" s="117"/>
      <c r="E73" s="118"/>
      <c r="F73" s="119">
        <v>198000</v>
      </c>
    </row>
    <row r="74" spans="1:6" ht="14.4" thickBot="1" x14ac:dyDescent="0.3">
      <c r="A74" s="120" t="s">
        <v>141</v>
      </c>
      <c r="B74" s="121"/>
      <c r="C74" s="122"/>
      <c r="D74" s="122"/>
      <c r="E74" s="122"/>
      <c r="F74" s="123">
        <f>$F$68+$F$73</f>
        <v>9030695.625</v>
      </c>
    </row>
    <row r="79" spans="1:6" x14ac:dyDescent="0.25">
      <c r="A79" s="39"/>
      <c r="B79" s="124"/>
      <c r="C79" s="124"/>
      <c r="D79" s="38"/>
    </row>
  </sheetData>
  <dataValidations count="1">
    <dataValidation type="list" allowBlank="1" showInputMessage="1" showErrorMessage="1" promptTitle="Välj djurslag" sqref="C14">
      <formula1>Djurslag</formula1>
    </dataValidation>
  </dataValidations>
  <pageMargins left="0.23622047244094491" right="0.23622047244094491" top="0.74803149606299213" bottom="0.74803149606299213" header="0.31496062992125984" footer="0.31496062992125984"/>
  <pageSetup paperSize="9" scale="60" fitToWidth="2" fitToHeight="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AY76"/>
  <sheetViews>
    <sheetView zoomScale="80" zoomScaleNormal="80" workbookViewId="0">
      <selection activeCell="F13" sqref="F13"/>
    </sheetView>
  </sheetViews>
  <sheetFormatPr defaultColWidth="9.109375" defaultRowHeight="13.8" x14ac:dyDescent="0.25"/>
  <cols>
    <col min="1" max="1" width="30.44140625" style="126" customWidth="1"/>
    <col min="2" max="2" width="14.109375" style="126" customWidth="1"/>
    <col min="3" max="3" width="13.109375" style="126" bestFit="1" customWidth="1"/>
    <col min="4" max="4" width="9.109375" style="126" customWidth="1"/>
    <col min="5" max="5" width="15.33203125" style="126" customWidth="1"/>
    <col min="6" max="6" width="14.44140625" style="126" bestFit="1" customWidth="1"/>
    <col min="7" max="7" width="14.88671875" style="126" customWidth="1"/>
    <col min="8" max="8" width="14.44140625" style="126" bestFit="1" customWidth="1"/>
    <col min="9" max="9" width="3" style="126" customWidth="1"/>
    <col min="10" max="10" width="19.6640625" style="126" customWidth="1"/>
    <col min="11" max="11" width="5.109375" style="126" customWidth="1"/>
    <col min="12" max="12" width="10.6640625" style="126" customWidth="1"/>
    <col min="13" max="13" width="7.88671875" style="126" customWidth="1"/>
    <col min="14" max="14" width="12.6640625" style="126" bestFit="1" customWidth="1"/>
    <col min="15" max="15" width="12.109375" style="126" customWidth="1"/>
    <col min="16" max="26" width="9.109375" style="126"/>
    <col min="27" max="27" width="9.109375" style="126" customWidth="1"/>
    <col min="28" max="16384" width="9.109375" style="126"/>
  </cols>
  <sheetData>
    <row r="1" spans="1:36" ht="27.6" x14ac:dyDescent="0.45">
      <c r="A1" s="125" t="s">
        <v>100</v>
      </c>
    </row>
    <row r="2" spans="1:36" ht="14.4" thickBot="1" x14ac:dyDescent="0.3"/>
    <row r="3" spans="1:36" x14ac:dyDescent="0.25">
      <c r="A3" s="127" t="s">
        <v>60</v>
      </c>
      <c r="B3" s="128"/>
      <c r="C3" s="129"/>
    </row>
    <row r="4" spans="1:36" x14ac:dyDescent="0.25">
      <c r="A4" s="130" t="s">
        <v>33</v>
      </c>
      <c r="B4" s="131">
        <f>IF(Investeringskalkyl!$C$14="dikor",Investeringskalkyl!$B$14,0)</f>
        <v>120</v>
      </c>
      <c r="C4" s="132" t="s">
        <v>42</v>
      </c>
      <c r="D4" s="133"/>
    </row>
    <row r="5" spans="1:36" ht="15.75" customHeight="1" x14ac:dyDescent="0.25">
      <c r="A5" s="134" t="s">
        <v>138</v>
      </c>
      <c r="B5" s="135">
        <v>0.9</v>
      </c>
      <c r="C5" s="132"/>
      <c r="D5" s="133"/>
    </row>
    <row r="6" spans="1:36" ht="15.75" customHeight="1" thickBot="1" x14ac:dyDescent="0.3">
      <c r="A6" s="136" t="s">
        <v>124</v>
      </c>
      <c r="B6" s="137">
        <v>12</v>
      </c>
      <c r="C6" s="138" t="s">
        <v>122</v>
      </c>
      <c r="D6" s="133"/>
    </row>
    <row r="7" spans="1:36" ht="14.4" thickBot="1" x14ac:dyDescent="0.3">
      <c r="A7" s="139"/>
    </row>
    <row r="8" spans="1:36" x14ac:dyDescent="0.25">
      <c r="A8" s="140" t="s">
        <v>65</v>
      </c>
      <c r="B8" s="141"/>
    </row>
    <row r="9" spans="1:36" ht="14.4" thickBot="1" x14ac:dyDescent="0.3">
      <c r="A9" s="142" t="s">
        <v>118</v>
      </c>
      <c r="B9" s="143">
        <f>$B$15*$B$4</f>
        <v>263387.79098742839</v>
      </c>
    </row>
    <row r="10" spans="1:36" x14ac:dyDescent="0.25">
      <c r="A10" s="144" t="s">
        <v>119</v>
      </c>
      <c r="B10" s="145">
        <f>$B$9/$H$28</f>
        <v>0.1206312830503031</v>
      </c>
    </row>
    <row r="11" spans="1:36" ht="14.4" thickBot="1" x14ac:dyDescent="0.3">
      <c r="A11" s="146" t="s">
        <v>120</v>
      </c>
      <c r="B11" s="147">
        <f>$H$55+$H$56+($O$47+$O$48)*12/$B$6</f>
        <v>253400</v>
      </c>
    </row>
    <row r="12" spans="1:36" x14ac:dyDescent="0.25">
      <c r="A12" s="140" t="s">
        <v>125</v>
      </c>
      <c r="B12" s="148"/>
    </row>
    <row r="13" spans="1:36" ht="18.75" customHeight="1" x14ac:dyDescent="0.25">
      <c r="A13" s="149" t="s">
        <v>87</v>
      </c>
      <c r="B13" s="150">
        <f>$F$28-$F$46</f>
        <v>12442.041624999998</v>
      </c>
    </row>
    <row r="14" spans="1:36" x14ac:dyDescent="0.25">
      <c r="A14" s="149" t="s">
        <v>88</v>
      </c>
      <c r="B14" s="150">
        <f>$F$28-$F$46-$F$51</f>
        <v>10612.826234374998</v>
      </c>
    </row>
    <row r="15" spans="1:36" ht="14.4" thickBot="1" x14ac:dyDescent="0.3">
      <c r="A15" s="142" t="s">
        <v>89</v>
      </c>
      <c r="B15" s="143">
        <f>$F$28-$F$46-$F51-$F$58</f>
        <v>2194.8982582285698</v>
      </c>
    </row>
    <row r="16" spans="1:36" s="157" customFormat="1" ht="12.15" customHeight="1" x14ac:dyDescent="0.25">
      <c r="A16" s="151"/>
      <c r="B16" s="152"/>
      <c r="C16" s="153"/>
      <c r="D16" s="153"/>
      <c r="E16" s="154"/>
      <c r="F16" s="154"/>
      <c r="G16" s="126"/>
      <c r="H16" s="155"/>
      <c r="I16" s="126"/>
      <c r="J16" s="126"/>
      <c r="K16" s="126"/>
      <c r="L16" s="156"/>
      <c r="N16" s="155"/>
      <c r="O16" s="155"/>
      <c r="P16" s="155"/>
      <c r="Q16" s="155"/>
      <c r="R16" s="155"/>
      <c r="S16" s="155"/>
      <c r="T16" s="155"/>
      <c r="U16" s="155"/>
      <c r="X16" s="158"/>
      <c r="Y16" s="158"/>
      <c r="Z16" s="158"/>
      <c r="AA16" s="158"/>
      <c r="AB16" s="159"/>
      <c r="AC16" s="159"/>
      <c r="AD16" s="159"/>
      <c r="AE16" s="159"/>
      <c r="AF16" s="159"/>
      <c r="AG16" s="159"/>
      <c r="AH16" s="159"/>
      <c r="AI16" s="159"/>
      <c r="AJ16" s="159"/>
    </row>
    <row r="17" spans="1:51" s="157" customFormat="1" ht="20.399999999999999" x14ac:dyDescent="0.35">
      <c r="A17" s="160"/>
      <c r="B17" s="161"/>
      <c r="C17" s="162"/>
      <c r="D17" s="162"/>
      <c r="E17" s="162"/>
      <c r="F17" s="162"/>
      <c r="G17" s="126"/>
      <c r="H17" s="155"/>
      <c r="I17" s="126"/>
      <c r="J17" s="163" t="s">
        <v>126</v>
      </c>
      <c r="K17" s="126"/>
      <c r="L17" s="156"/>
      <c r="N17" s="155"/>
      <c r="O17" s="155"/>
      <c r="P17" s="155"/>
      <c r="Q17" s="155"/>
      <c r="R17" s="155"/>
      <c r="S17" s="155"/>
      <c r="T17" s="155"/>
      <c r="U17" s="155"/>
      <c r="X17" s="158"/>
      <c r="Y17" s="158"/>
      <c r="Z17" s="158"/>
      <c r="AA17" s="158"/>
      <c r="AB17" s="159"/>
      <c r="AC17" s="159"/>
      <c r="AD17" s="159"/>
      <c r="AE17" s="159"/>
      <c r="AF17" s="159"/>
      <c r="AG17" s="159"/>
      <c r="AH17" s="159"/>
      <c r="AI17" s="159"/>
      <c r="AJ17" s="159"/>
    </row>
    <row r="18" spans="1:51" s="157" customFormat="1" ht="27.6" x14ac:dyDescent="0.25">
      <c r="A18" s="164" t="s">
        <v>98</v>
      </c>
      <c r="B18" s="165" t="s">
        <v>6</v>
      </c>
      <c r="C18" s="166" t="s">
        <v>127</v>
      </c>
      <c r="D18" s="166" t="s">
        <v>32</v>
      </c>
      <c r="E18" s="166" t="s">
        <v>63</v>
      </c>
      <c r="F18" s="166" t="s">
        <v>128</v>
      </c>
      <c r="G18" s="167" t="s">
        <v>129</v>
      </c>
      <c r="H18" s="167" t="s">
        <v>85</v>
      </c>
      <c r="I18" s="126"/>
      <c r="J18" s="164" t="s">
        <v>98</v>
      </c>
      <c r="K18" s="165" t="s">
        <v>6</v>
      </c>
      <c r="L18" s="168" t="s">
        <v>130</v>
      </c>
      <c r="M18" s="168" t="s">
        <v>32</v>
      </c>
      <c r="N18" s="168" t="s">
        <v>63</v>
      </c>
      <c r="O18" s="168" t="s">
        <v>131</v>
      </c>
      <c r="P18" s="155"/>
      <c r="Q18" s="155"/>
      <c r="R18" s="155"/>
      <c r="S18" s="155"/>
      <c r="T18" s="155"/>
      <c r="U18" s="155"/>
      <c r="X18" s="158"/>
      <c r="Y18" s="158"/>
      <c r="Z18" s="158"/>
      <c r="AA18" s="158"/>
      <c r="AB18" s="159"/>
      <c r="AC18" s="159"/>
      <c r="AD18" s="159"/>
      <c r="AE18" s="159"/>
      <c r="AF18" s="159"/>
      <c r="AG18" s="159"/>
      <c r="AH18" s="159"/>
      <c r="AI18" s="159"/>
      <c r="AJ18" s="159"/>
    </row>
    <row r="19" spans="1:51" s="157" customFormat="1" x14ac:dyDescent="0.25">
      <c r="A19" s="169" t="s">
        <v>132</v>
      </c>
      <c r="B19" s="170">
        <v>1</v>
      </c>
      <c r="C19" s="171">
        <f>0.9*0.5</f>
        <v>0.45</v>
      </c>
      <c r="D19" s="172" t="s">
        <v>47</v>
      </c>
      <c r="E19" s="173">
        <v>7020</v>
      </c>
      <c r="F19" s="174">
        <f>C19*E19</f>
        <v>3159</v>
      </c>
      <c r="G19" s="175">
        <f t="shared" ref="G19:G26" si="0">F19/$B$5</f>
        <v>3510</v>
      </c>
      <c r="H19" s="174">
        <f t="shared" ref="H19:H26" si="1">F19*$B$4</f>
        <v>379080</v>
      </c>
      <c r="I19" s="126"/>
      <c r="J19" s="126"/>
      <c r="K19" s="126"/>
      <c r="L19" s="156"/>
      <c r="N19" s="155"/>
      <c r="O19" s="176"/>
      <c r="P19" s="155"/>
      <c r="Q19" s="155"/>
      <c r="R19" s="155"/>
      <c r="S19" s="155"/>
      <c r="T19" s="155"/>
      <c r="U19" s="155"/>
      <c r="X19" s="158"/>
      <c r="Y19" s="158"/>
      <c r="Z19" s="158"/>
      <c r="AA19" s="158"/>
      <c r="AB19" s="159"/>
      <c r="AC19" s="159"/>
      <c r="AD19" s="159"/>
      <c r="AE19" s="159"/>
      <c r="AF19" s="159"/>
      <c r="AG19" s="159"/>
      <c r="AH19" s="159"/>
      <c r="AI19" s="159"/>
      <c r="AJ19" s="159"/>
    </row>
    <row r="20" spans="1:51" s="157" customFormat="1" x14ac:dyDescent="0.25">
      <c r="A20" s="169" t="s">
        <v>133</v>
      </c>
      <c r="B20" s="170">
        <v>2</v>
      </c>
      <c r="C20" s="171">
        <f>0.9*0.5</f>
        <v>0.45</v>
      </c>
      <c r="D20" s="177" t="s">
        <v>47</v>
      </c>
      <c r="E20" s="173">
        <v>8400</v>
      </c>
      <c r="F20" s="174">
        <f>C20*E20</f>
        <v>3780</v>
      </c>
      <c r="G20" s="175">
        <f t="shared" si="0"/>
        <v>4200</v>
      </c>
      <c r="H20" s="174">
        <f t="shared" si="1"/>
        <v>453600</v>
      </c>
      <c r="I20" s="126"/>
      <c r="J20" s="151" t="s">
        <v>126</v>
      </c>
      <c r="K20" s="126" t="s">
        <v>137</v>
      </c>
      <c r="L20" s="156"/>
      <c r="N20" s="155"/>
      <c r="O20" s="174">
        <f>+O51-SUM(O21:O27)</f>
        <v>6785.6375000000007</v>
      </c>
      <c r="P20" s="155"/>
      <c r="Q20" s="155"/>
      <c r="R20" s="155"/>
      <c r="S20" s="155"/>
      <c r="T20" s="155"/>
      <c r="U20" s="178"/>
      <c r="X20" s="158"/>
      <c r="Y20" s="158"/>
      <c r="Z20" s="158"/>
      <c r="AA20" s="158"/>
      <c r="AB20" s="159"/>
      <c r="AC20" s="159"/>
      <c r="AD20" s="159"/>
      <c r="AE20" s="159"/>
      <c r="AF20" s="159"/>
      <c r="AG20" s="159"/>
      <c r="AH20" s="159"/>
      <c r="AI20" s="159"/>
      <c r="AJ20" s="159"/>
    </row>
    <row r="21" spans="1:51" s="157" customFormat="1" x14ac:dyDescent="0.25">
      <c r="A21" s="169" t="s">
        <v>134</v>
      </c>
      <c r="B21" s="170">
        <v>3</v>
      </c>
      <c r="C21" s="171">
        <v>0.17</v>
      </c>
      <c r="D21" s="177" t="s">
        <v>47</v>
      </c>
      <c r="E21" s="173">
        <v>15330</v>
      </c>
      <c r="F21" s="174">
        <f t="shared" ref="F21:F26" si="2">C21*E21</f>
        <v>2606.1000000000004</v>
      </c>
      <c r="G21" s="175">
        <f t="shared" si="0"/>
        <v>2895.666666666667</v>
      </c>
      <c r="H21" s="174">
        <f t="shared" si="1"/>
        <v>312732.00000000006</v>
      </c>
      <c r="I21" s="126"/>
      <c r="J21" s="179"/>
      <c r="K21" s="179"/>
      <c r="L21" s="180"/>
      <c r="M21" s="181"/>
      <c r="N21" s="182"/>
      <c r="O21" s="174"/>
      <c r="P21" s="155"/>
      <c r="Q21" s="155"/>
      <c r="R21" s="155"/>
      <c r="S21" s="155"/>
      <c r="T21" s="155"/>
      <c r="U21" s="178"/>
      <c r="X21" s="158"/>
      <c r="Y21" s="158"/>
      <c r="Z21" s="158"/>
      <c r="AA21" s="158"/>
      <c r="AB21" s="159"/>
      <c r="AC21" s="159"/>
      <c r="AD21" s="159"/>
      <c r="AE21" s="159"/>
      <c r="AF21" s="159"/>
      <c r="AG21" s="159"/>
      <c r="AH21" s="159"/>
      <c r="AI21" s="159"/>
      <c r="AJ21" s="159"/>
    </row>
    <row r="22" spans="1:51" s="157" customFormat="1" ht="27.6" x14ac:dyDescent="0.25">
      <c r="A22" s="169" t="s">
        <v>149</v>
      </c>
      <c r="B22" s="170">
        <v>4</v>
      </c>
      <c r="C22" s="183">
        <v>2500</v>
      </c>
      <c r="D22" s="177" t="s">
        <v>121</v>
      </c>
      <c r="E22" s="173">
        <v>2.2599999999999998</v>
      </c>
      <c r="F22" s="174">
        <f t="shared" si="2"/>
        <v>5649.9999999999991</v>
      </c>
      <c r="G22" s="175">
        <f t="shared" si="0"/>
        <v>6277.7777777777765</v>
      </c>
      <c r="H22" s="174">
        <f t="shared" si="1"/>
        <v>677999.99999999988</v>
      </c>
      <c r="I22" s="126"/>
      <c r="J22" s="169" t="s">
        <v>113</v>
      </c>
      <c r="K22" s="170"/>
      <c r="L22" s="184">
        <v>2000</v>
      </c>
      <c r="M22" s="177" t="s">
        <v>121</v>
      </c>
      <c r="N22" s="185">
        <f>E22</f>
        <v>2.2599999999999998</v>
      </c>
      <c r="O22" s="174">
        <f>N22*L22</f>
        <v>4520</v>
      </c>
      <c r="P22" s="155"/>
      <c r="Q22" s="155"/>
      <c r="R22" s="155"/>
      <c r="S22" s="155"/>
      <c r="T22" s="155"/>
      <c r="U22" s="155"/>
      <c r="X22" s="158"/>
      <c r="Y22" s="158"/>
      <c r="Z22" s="158"/>
      <c r="AA22" s="158"/>
      <c r="AB22" s="159"/>
      <c r="AC22" s="159"/>
      <c r="AD22" s="159"/>
      <c r="AE22" s="159"/>
      <c r="AF22" s="159"/>
      <c r="AG22" s="159"/>
      <c r="AH22" s="159"/>
      <c r="AI22" s="159"/>
      <c r="AJ22" s="159"/>
    </row>
    <row r="23" spans="1:51" s="157" customFormat="1" x14ac:dyDescent="0.25">
      <c r="A23" s="169" t="s">
        <v>123</v>
      </c>
      <c r="B23" s="170">
        <v>5</v>
      </c>
      <c r="C23" s="183">
        <v>1</v>
      </c>
      <c r="D23" s="177" t="s">
        <v>46</v>
      </c>
      <c r="E23" s="173">
        <v>800</v>
      </c>
      <c r="F23" s="174">
        <f t="shared" si="2"/>
        <v>800</v>
      </c>
      <c r="G23" s="175">
        <f t="shared" si="0"/>
        <v>888.88888888888891</v>
      </c>
      <c r="H23" s="174">
        <f t="shared" si="1"/>
        <v>96000</v>
      </c>
      <c r="I23" s="126"/>
      <c r="J23" s="169" t="s">
        <v>123</v>
      </c>
      <c r="K23" s="170"/>
      <c r="L23" s="171">
        <v>0.5</v>
      </c>
      <c r="M23" s="177" t="s">
        <v>46</v>
      </c>
      <c r="N23" s="186">
        <v>800</v>
      </c>
      <c r="O23" s="174">
        <f t="shared" ref="O23:O26" si="3">N23*L23</f>
        <v>400</v>
      </c>
      <c r="P23" s="155"/>
      <c r="Q23" s="155"/>
      <c r="R23" s="155"/>
      <c r="S23" s="155"/>
      <c r="T23" s="155"/>
      <c r="U23" s="155"/>
      <c r="X23" s="158"/>
      <c r="Y23" s="158"/>
      <c r="Z23" s="158"/>
      <c r="AA23" s="158"/>
      <c r="AB23" s="159"/>
      <c r="AC23" s="159"/>
      <c r="AD23" s="159"/>
      <c r="AE23" s="159"/>
      <c r="AF23" s="159"/>
      <c r="AG23" s="159"/>
      <c r="AH23" s="159"/>
      <c r="AI23" s="159"/>
      <c r="AJ23" s="159"/>
    </row>
    <row r="24" spans="1:51" s="157" customFormat="1" x14ac:dyDescent="0.25">
      <c r="A24" s="169" t="s">
        <v>102</v>
      </c>
      <c r="B24" s="170">
        <v>6</v>
      </c>
      <c r="C24" s="183">
        <v>0</v>
      </c>
      <c r="D24" s="177" t="s">
        <v>46</v>
      </c>
      <c r="E24" s="173">
        <v>0</v>
      </c>
      <c r="F24" s="174">
        <f t="shared" si="2"/>
        <v>0</v>
      </c>
      <c r="G24" s="175">
        <f t="shared" si="0"/>
        <v>0</v>
      </c>
      <c r="H24" s="174">
        <f t="shared" si="1"/>
        <v>0</v>
      </c>
      <c r="I24" s="126"/>
      <c r="J24" s="169" t="s">
        <v>102</v>
      </c>
      <c r="K24" s="170"/>
      <c r="L24" s="184">
        <v>0</v>
      </c>
      <c r="M24" s="177" t="s">
        <v>46</v>
      </c>
      <c r="N24" s="186">
        <v>0</v>
      </c>
      <c r="O24" s="174">
        <f t="shared" si="3"/>
        <v>0</v>
      </c>
      <c r="P24" s="155"/>
      <c r="Q24" s="155"/>
      <c r="R24" s="155"/>
      <c r="S24" s="155"/>
      <c r="T24" s="155"/>
      <c r="U24" s="155"/>
      <c r="X24" s="158"/>
      <c r="Y24" s="158"/>
      <c r="Z24" s="158"/>
      <c r="AA24" s="158"/>
      <c r="AB24" s="159"/>
      <c r="AC24" s="159"/>
      <c r="AD24" s="159"/>
      <c r="AE24" s="159"/>
      <c r="AF24" s="159"/>
      <c r="AG24" s="159"/>
      <c r="AH24" s="159"/>
      <c r="AI24" s="159"/>
      <c r="AJ24" s="159"/>
    </row>
    <row r="25" spans="1:51" s="157" customFormat="1" ht="27.6" x14ac:dyDescent="0.25">
      <c r="A25" s="169" t="s">
        <v>107</v>
      </c>
      <c r="B25" s="170">
        <v>7</v>
      </c>
      <c r="C25" s="183">
        <v>1</v>
      </c>
      <c r="D25" s="177" t="s">
        <v>46</v>
      </c>
      <c r="E25" s="173">
        <v>1600</v>
      </c>
      <c r="F25" s="174">
        <f t="shared" si="2"/>
        <v>1600</v>
      </c>
      <c r="G25" s="175">
        <f t="shared" si="0"/>
        <v>1777.7777777777778</v>
      </c>
      <c r="H25" s="174">
        <f t="shared" si="1"/>
        <v>192000</v>
      </c>
      <c r="I25" s="126"/>
      <c r="J25" s="169" t="s">
        <v>107</v>
      </c>
      <c r="K25" s="170"/>
      <c r="L25" s="184">
        <v>0.6</v>
      </c>
      <c r="M25" s="177" t="s">
        <v>46</v>
      </c>
      <c r="N25" s="186">
        <v>1600</v>
      </c>
      <c r="O25" s="174">
        <f t="shared" si="3"/>
        <v>960</v>
      </c>
      <c r="P25" s="155"/>
      <c r="Q25" s="155"/>
      <c r="R25" s="155"/>
      <c r="S25" s="155"/>
      <c r="T25" s="155"/>
      <c r="U25" s="155"/>
      <c r="X25" s="158"/>
      <c r="Y25" s="158"/>
      <c r="Z25" s="158"/>
      <c r="AA25" s="158"/>
      <c r="AB25" s="159"/>
      <c r="AC25" s="159"/>
      <c r="AD25" s="159"/>
      <c r="AE25" s="159"/>
      <c r="AF25" s="159"/>
      <c r="AG25" s="159"/>
      <c r="AH25" s="159"/>
      <c r="AI25" s="159"/>
      <c r="AJ25" s="159"/>
    </row>
    <row r="26" spans="1:51" s="157" customFormat="1" x14ac:dyDescent="0.25">
      <c r="A26" s="169" t="s">
        <v>147</v>
      </c>
      <c r="B26" s="170">
        <v>8</v>
      </c>
      <c r="C26" s="183">
        <v>1</v>
      </c>
      <c r="D26" s="177" t="s">
        <v>47</v>
      </c>
      <c r="E26" s="173">
        <f>600</f>
        <v>600</v>
      </c>
      <c r="F26" s="174">
        <f t="shared" si="2"/>
        <v>600</v>
      </c>
      <c r="G26" s="175">
        <f t="shared" si="0"/>
        <v>666.66666666666663</v>
      </c>
      <c r="H26" s="174">
        <f t="shared" si="1"/>
        <v>72000</v>
      </c>
      <c r="I26" s="126"/>
      <c r="J26" s="179" t="s">
        <v>101</v>
      </c>
      <c r="K26" s="179"/>
      <c r="L26" s="180">
        <v>0</v>
      </c>
      <c r="M26" s="187" t="s">
        <v>48</v>
      </c>
      <c r="N26" s="182">
        <v>0</v>
      </c>
      <c r="O26" s="174">
        <f t="shared" si="3"/>
        <v>0</v>
      </c>
      <c r="P26" s="155"/>
      <c r="Q26" s="155"/>
      <c r="R26" s="155"/>
      <c r="S26" s="155"/>
      <c r="T26" s="155"/>
      <c r="U26" s="155"/>
      <c r="X26" s="158"/>
      <c r="Y26" s="158"/>
      <c r="Z26" s="158"/>
      <c r="AA26" s="158"/>
      <c r="AB26" s="159"/>
      <c r="AC26" s="159"/>
      <c r="AD26" s="159"/>
      <c r="AE26" s="159"/>
      <c r="AF26" s="159"/>
      <c r="AG26" s="159"/>
      <c r="AH26" s="159"/>
      <c r="AI26" s="159"/>
      <c r="AJ26" s="159"/>
      <c r="AY26" s="155"/>
    </row>
    <row r="27" spans="1:51" s="157" customFormat="1" x14ac:dyDescent="0.25">
      <c r="A27" s="169"/>
      <c r="B27" s="170"/>
      <c r="C27" s="183"/>
      <c r="D27" s="177"/>
      <c r="E27" s="173"/>
      <c r="F27" s="174"/>
      <c r="G27" s="175"/>
      <c r="H27" s="174"/>
      <c r="I27" s="126"/>
      <c r="J27" s="179"/>
      <c r="K27" s="179"/>
      <c r="L27" s="180"/>
      <c r="M27" s="181"/>
      <c r="N27" s="182"/>
      <c r="O27" s="174"/>
      <c r="P27" s="155"/>
      <c r="Q27" s="155"/>
      <c r="R27" s="155"/>
      <c r="S27" s="155"/>
      <c r="T27" s="155"/>
      <c r="U27" s="155"/>
      <c r="X27" s="158"/>
      <c r="Y27" s="158"/>
      <c r="Z27" s="158"/>
      <c r="AA27" s="158"/>
      <c r="AB27" s="159"/>
      <c r="AC27" s="159"/>
      <c r="AD27" s="159"/>
      <c r="AE27" s="159"/>
      <c r="AF27" s="159"/>
      <c r="AG27" s="159"/>
      <c r="AH27" s="159"/>
      <c r="AI27" s="159"/>
      <c r="AJ27" s="159"/>
      <c r="AY27" s="155"/>
    </row>
    <row r="28" spans="1:51" s="157" customFormat="1" x14ac:dyDescent="0.25">
      <c r="A28" s="188" t="s">
        <v>86</v>
      </c>
      <c r="B28" s="189"/>
      <c r="C28" s="190"/>
      <c r="D28" s="191"/>
      <c r="E28" s="192"/>
      <c r="F28" s="193">
        <f>SUM(F19:F27)</f>
        <v>18195.099999999999</v>
      </c>
      <c r="G28" s="193">
        <f>SUM(G19:G27)</f>
        <v>20216.777777777781</v>
      </c>
      <c r="H28" s="193">
        <f>SUM(H19:H27)</f>
        <v>2183412</v>
      </c>
      <c r="I28" s="126"/>
      <c r="J28" s="188" t="s">
        <v>86</v>
      </c>
      <c r="K28" s="189"/>
      <c r="L28" s="190"/>
      <c r="M28" s="191"/>
      <c r="N28" s="194">
        <f>SUM(N22:N27)</f>
        <v>2402.2600000000002</v>
      </c>
      <c r="O28" s="195">
        <f>SUM(O20:O27)</f>
        <v>12665.637500000001</v>
      </c>
      <c r="P28" s="155"/>
      <c r="Q28" s="155"/>
      <c r="R28" s="155"/>
      <c r="S28" s="155"/>
      <c r="T28" s="155"/>
      <c r="U28" s="155"/>
      <c r="X28" s="158"/>
      <c r="Y28" s="158"/>
      <c r="Z28" s="158"/>
      <c r="AA28" s="158"/>
      <c r="AB28" s="159"/>
      <c r="AC28" s="159"/>
      <c r="AD28" s="159"/>
      <c r="AE28" s="159"/>
      <c r="AF28" s="159"/>
      <c r="AG28" s="159"/>
      <c r="AH28" s="159"/>
      <c r="AI28" s="159"/>
      <c r="AJ28" s="159"/>
      <c r="AY28" s="155"/>
    </row>
    <row r="29" spans="1:51" s="157" customFormat="1" x14ac:dyDescent="0.25">
      <c r="A29" s="196"/>
      <c r="B29" s="197"/>
      <c r="C29" s="198"/>
      <c r="D29" s="161"/>
      <c r="E29" s="199"/>
      <c r="F29" s="200"/>
      <c r="G29" s="201"/>
      <c r="H29" s="155"/>
      <c r="I29" s="202"/>
      <c r="K29" s="155"/>
      <c r="L29" s="155"/>
      <c r="M29" s="176"/>
      <c r="N29" s="203"/>
      <c r="O29" s="155"/>
      <c r="P29" s="155"/>
      <c r="Q29" s="155"/>
      <c r="R29" s="155"/>
      <c r="S29" s="155"/>
      <c r="V29" s="158"/>
      <c r="W29" s="158"/>
      <c r="X29" s="158"/>
      <c r="Y29" s="158"/>
      <c r="Z29" s="159"/>
      <c r="AA29" s="159"/>
      <c r="AB29" s="159"/>
      <c r="AC29" s="159"/>
      <c r="AD29" s="159"/>
      <c r="AE29" s="159"/>
      <c r="AF29" s="159"/>
      <c r="AG29" s="159"/>
      <c r="AH29" s="159"/>
      <c r="AW29" s="155"/>
    </row>
    <row r="30" spans="1:51" s="157" customFormat="1" ht="27.6" x14ac:dyDescent="0.25">
      <c r="A30" s="164" t="s">
        <v>99</v>
      </c>
      <c r="B30" s="165" t="s">
        <v>6</v>
      </c>
      <c r="C30" s="166" t="s">
        <v>127</v>
      </c>
      <c r="D30" s="166" t="s">
        <v>32</v>
      </c>
      <c r="E30" s="166" t="s">
        <v>63</v>
      </c>
      <c r="F30" s="166" t="s">
        <v>128</v>
      </c>
      <c r="G30" s="167" t="s">
        <v>129</v>
      </c>
      <c r="H30" s="167" t="s">
        <v>85</v>
      </c>
      <c r="I30" s="202"/>
      <c r="J30" s="164" t="s">
        <v>99</v>
      </c>
      <c r="K30" s="165" t="s">
        <v>6</v>
      </c>
      <c r="L30" s="168" t="s">
        <v>130</v>
      </c>
      <c r="M30" s="168" t="s">
        <v>32</v>
      </c>
      <c r="N30" s="168" t="s">
        <v>63</v>
      </c>
      <c r="O30" s="168" t="s">
        <v>131</v>
      </c>
      <c r="P30" s="155"/>
      <c r="Q30" s="155"/>
      <c r="R30" s="155"/>
      <c r="S30" s="155"/>
      <c r="V30" s="158"/>
      <c r="W30" s="158"/>
      <c r="X30" s="158"/>
      <c r="Y30" s="158"/>
      <c r="Z30" s="159"/>
      <c r="AA30" s="159"/>
      <c r="AB30" s="159"/>
      <c r="AC30" s="159"/>
      <c r="AD30" s="159"/>
      <c r="AE30" s="159"/>
      <c r="AF30" s="159"/>
      <c r="AG30" s="159"/>
      <c r="AH30" s="159"/>
      <c r="AW30" s="155"/>
    </row>
    <row r="31" spans="1:51" s="157" customFormat="1" ht="27.6" x14ac:dyDescent="0.25">
      <c r="A31" s="151" t="s">
        <v>135</v>
      </c>
      <c r="B31" s="197"/>
      <c r="C31" s="171">
        <f>+C21</f>
        <v>0.17</v>
      </c>
      <c r="D31" s="152" t="s">
        <v>47</v>
      </c>
      <c r="E31" s="174">
        <f>+O20</f>
        <v>6785.6375000000007</v>
      </c>
      <c r="F31" s="174">
        <f>C31*E31</f>
        <v>1153.5583750000003</v>
      </c>
      <c r="G31" s="175">
        <f t="shared" ref="G31:G59" si="4">F31/$B$5</f>
        <v>1281.7315277777782</v>
      </c>
      <c r="H31" s="174">
        <f t="shared" ref="H31:H50" si="5">F31*$B$4</f>
        <v>138427.00500000003</v>
      </c>
      <c r="I31" s="176"/>
      <c r="J31" s="151" t="s">
        <v>132</v>
      </c>
      <c r="K31" s="197"/>
      <c r="L31" s="202">
        <v>1</v>
      </c>
      <c r="M31" s="152" t="s">
        <v>47</v>
      </c>
      <c r="N31" s="175">
        <f>$E$19</f>
        <v>7020</v>
      </c>
      <c r="O31" s="174">
        <f>L31*N31</f>
        <v>7020</v>
      </c>
      <c r="P31" s="155"/>
      <c r="Q31" s="155"/>
      <c r="R31" s="155"/>
      <c r="S31" s="155"/>
      <c r="V31" s="158"/>
      <c r="W31" s="158"/>
      <c r="X31" s="158"/>
      <c r="Y31" s="158"/>
      <c r="Z31" s="159"/>
      <c r="AA31" s="159"/>
      <c r="AB31" s="159"/>
      <c r="AC31" s="159"/>
      <c r="AD31" s="159"/>
      <c r="AE31" s="159"/>
      <c r="AF31" s="159"/>
      <c r="AG31" s="159"/>
      <c r="AH31" s="159"/>
    </row>
    <row r="32" spans="1:51" s="157" customFormat="1" x14ac:dyDescent="0.25">
      <c r="A32" s="169" t="s">
        <v>108</v>
      </c>
      <c r="B32" s="170">
        <v>9</v>
      </c>
      <c r="C32" s="184">
        <v>0</v>
      </c>
      <c r="D32" s="172" t="s">
        <v>47</v>
      </c>
      <c r="E32" s="173">
        <v>0</v>
      </c>
      <c r="F32" s="174">
        <f t="shared" ref="F32:F45" si="6">C32*E32</f>
        <v>0</v>
      </c>
      <c r="G32" s="174">
        <f t="shared" ref="G32" si="7">F32*$B$4*$B$5</f>
        <v>0</v>
      </c>
      <c r="H32" s="174">
        <f t="shared" si="5"/>
        <v>0</v>
      </c>
      <c r="I32" s="156"/>
      <c r="J32" s="169" t="s">
        <v>103</v>
      </c>
      <c r="K32" s="170"/>
      <c r="L32" s="184">
        <v>2000</v>
      </c>
      <c r="M32" s="172" t="s">
        <v>49</v>
      </c>
      <c r="N32" s="173">
        <v>1.2</v>
      </c>
      <c r="O32" s="174">
        <f t="shared" ref="O32:O36" si="8">L32*N32</f>
        <v>2400</v>
      </c>
      <c r="P32" s="155"/>
      <c r="Q32" s="155"/>
      <c r="R32" s="155"/>
      <c r="U32" s="158"/>
      <c r="V32" s="158"/>
      <c r="W32" s="158"/>
      <c r="X32" s="158"/>
      <c r="Y32" s="159"/>
      <c r="Z32" s="159"/>
      <c r="AA32" s="159"/>
      <c r="AB32" s="159"/>
      <c r="AC32" s="159"/>
      <c r="AD32" s="159"/>
      <c r="AE32" s="159"/>
      <c r="AF32" s="159"/>
      <c r="AG32" s="159"/>
    </row>
    <row r="33" spans="1:34" s="157" customFormat="1" x14ac:dyDescent="0.25">
      <c r="A33" s="169" t="s">
        <v>143</v>
      </c>
      <c r="B33" s="170">
        <v>10</v>
      </c>
      <c r="C33" s="184">
        <v>2500</v>
      </c>
      <c r="D33" s="172" t="s">
        <v>121</v>
      </c>
      <c r="E33" s="173">
        <v>1.2</v>
      </c>
      <c r="F33" s="174">
        <f t="shared" si="6"/>
        <v>3000</v>
      </c>
      <c r="G33" s="175">
        <f t="shared" si="4"/>
        <v>3333.333333333333</v>
      </c>
      <c r="H33" s="174">
        <f t="shared" si="5"/>
        <v>360000</v>
      </c>
      <c r="I33" s="176"/>
      <c r="J33" s="169" t="s">
        <v>104</v>
      </c>
      <c r="K33" s="170"/>
      <c r="L33" s="184">
        <v>0</v>
      </c>
      <c r="M33" s="172" t="s">
        <v>49</v>
      </c>
      <c r="N33" s="173">
        <v>0</v>
      </c>
      <c r="O33" s="174">
        <f t="shared" si="8"/>
        <v>0</v>
      </c>
      <c r="P33" s="155"/>
      <c r="Q33" s="155"/>
      <c r="R33" s="155"/>
      <c r="S33" s="155"/>
      <c r="V33" s="158"/>
      <c r="W33" s="158"/>
      <c r="X33" s="158"/>
      <c r="Y33" s="158"/>
      <c r="Z33" s="159"/>
      <c r="AA33" s="159"/>
      <c r="AB33" s="159"/>
      <c r="AC33" s="159"/>
      <c r="AD33" s="159"/>
      <c r="AE33" s="159"/>
      <c r="AF33" s="159"/>
      <c r="AG33" s="159"/>
      <c r="AH33" s="159"/>
    </row>
    <row r="34" spans="1:34" s="157" customFormat="1" x14ac:dyDescent="0.25">
      <c r="A34" s="169" t="s">
        <v>104</v>
      </c>
      <c r="B34" s="170">
        <v>11</v>
      </c>
      <c r="C34" s="184">
        <v>0</v>
      </c>
      <c r="D34" s="172" t="s">
        <v>49</v>
      </c>
      <c r="E34" s="173">
        <v>0</v>
      </c>
      <c r="F34" s="174">
        <f t="shared" si="6"/>
        <v>0</v>
      </c>
      <c r="G34" s="175">
        <f t="shared" si="4"/>
        <v>0</v>
      </c>
      <c r="H34" s="174">
        <f t="shared" si="5"/>
        <v>0</v>
      </c>
      <c r="I34" s="176"/>
      <c r="J34" s="169" t="s">
        <v>105</v>
      </c>
      <c r="K34" s="170"/>
      <c r="L34" s="184">
        <v>37</v>
      </c>
      <c r="M34" s="172" t="s">
        <v>49</v>
      </c>
      <c r="N34" s="173">
        <v>6.5</v>
      </c>
      <c r="O34" s="174">
        <f t="shared" si="8"/>
        <v>240.5</v>
      </c>
      <c r="P34" s="155"/>
      <c r="Q34" s="155"/>
      <c r="R34" s="155"/>
      <c r="S34" s="155"/>
      <c r="V34" s="158"/>
      <c r="W34" s="158"/>
      <c r="X34" s="158"/>
      <c r="Y34" s="158"/>
      <c r="Z34" s="159"/>
      <c r="AA34" s="159"/>
      <c r="AB34" s="159"/>
      <c r="AC34" s="159"/>
      <c r="AD34" s="159"/>
      <c r="AE34" s="159"/>
      <c r="AF34" s="159"/>
      <c r="AG34" s="159"/>
      <c r="AH34" s="159"/>
    </row>
    <row r="35" spans="1:34" s="157" customFormat="1" x14ac:dyDescent="0.25">
      <c r="A35" s="169" t="s">
        <v>115</v>
      </c>
      <c r="B35" s="170">
        <v>12</v>
      </c>
      <c r="C35" s="184">
        <v>0</v>
      </c>
      <c r="D35" s="172" t="s">
        <v>49</v>
      </c>
      <c r="E35" s="173">
        <v>0</v>
      </c>
      <c r="F35" s="174">
        <f t="shared" si="6"/>
        <v>0</v>
      </c>
      <c r="G35" s="175">
        <f t="shared" ref="G35" si="9">F35/$B$5</f>
        <v>0</v>
      </c>
      <c r="H35" s="174">
        <f t="shared" ref="H35" si="10">F35*$B$4</f>
        <v>0</v>
      </c>
      <c r="I35" s="176"/>
      <c r="J35" s="169" t="s">
        <v>115</v>
      </c>
      <c r="K35" s="170"/>
      <c r="L35" s="184">
        <v>0</v>
      </c>
      <c r="M35" s="172" t="s">
        <v>49</v>
      </c>
      <c r="N35" s="173">
        <v>0</v>
      </c>
      <c r="O35" s="174">
        <f t="shared" ref="O35" si="11">L35*N35</f>
        <v>0</v>
      </c>
      <c r="P35" s="155"/>
      <c r="Q35" s="155"/>
      <c r="R35" s="155"/>
      <c r="S35" s="155"/>
      <c r="V35" s="158"/>
      <c r="W35" s="158"/>
      <c r="X35" s="158"/>
      <c r="Y35" s="158"/>
      <c r="Z35" s="159"/>
      <c r="AA35" s="159"/>
      <c r="AB35" s="159"/>
      <c r="AC35" s="159"/>
      <c r="AD35" s="159"/>
      <c r="AE35" s="159"/>
      <c r="AF35" s="159"/>
      <c r="AG35" s="159"/>
      <c r="AH35" s="159"/>
    </row>
    <row r="36" spans="1:34" s="157" customFormat="1" x14ac:dyDescent="0.25">
      <c r="A36" s="169" t="s">
        <v>105</v>
      </c>
      <c r="B36" s="170">
        <v>13</v>
      </c>
      <c r="C36" s="184">
        <v>37</v>
      </c>
      <c r="D36" s="172" t="s">
        <v>49</v>
      </c>
      <c r="E36" s="173">
        <v>6.5</v>
      </c>
      <c r="F36" s="174">
        <f t="shared" si="6"/>
        <v>240.5</v>
      </c>
      <c r="G36" s="175">
        <f t="shared" si="4"/>
        <v>267.22222222222223</v>
      </c>
      <c r="H36" s="174">
        <f t="shared" si="5"/>
        <v>28860</v>
      </c>
      <c r="I36" s="176"/>
      <c r="J36" s="169" t="s">
        <v>50</v>
      </c>
      <c r="K36" s="170"/>
      <c r="L36" s="184">
        <v>500</v>
      </c>
      <c r="M36" s="172" t="s">
        <v>49</v>
      </c>
      <c r="N36" s="173">
        <v>0.75</v>
      </c>
      <c r="O36" s="174">
        <f t="shared" si="8"/>
        <v>375</v>
      </c>
      <c r="P36" s="155"/>
      <c r="Q36" s="155"/>
      <c r="R36" s="155"/>
      <c r="S36" s="155"/>
      <c r="V36" s="158"/>
      <c r="W36" s="158"/>
      <c r="X36" s="158"/>
      <c r="Y36" s="158"/>
      <c r="Z36" s="159"/>
      <c r="AA36" s="159"/>
      <c r="AB36" s="159"/>
      <c r="AC36" s="159"/>
      <c r="AD36" s="159"/>
      <c r="AE36" s="159"/>
      <c r="AF36" s="159"/>
      <c r="AG36" s="159"/>
      <c r="AH36" s="159"/>
    </row>
    <row r="37" spans="1:34" s="157" customFormat="1" x14ac:dyDescent="0.25">
      <c r="A37" s="169" t="s">
        <v>146</v>
      </c>
      <c r="B37" s="170">
        <v>14</v>
      </c>
      <c r="C37" s="184">
        <v>260</v>
      </c>
      <c r="D37" s="172" t="s">
        <v>49</v>
      </c>
      <c r="E37" s="173">
        <v>1</v>
      </c>
      <c r="F37" s="174">
        <f t="shared" si="6"/>
        <v>260</v>
      </c>
      <c r="G37" s="175">
        <f t="shared" si="4"/>
        <v>288.88888888888886</v>
      </c>
      <c r="H37" s="174">
        <f t="shared" si="5"/>
        <v>31200</v>
      </c>
      <c r="I37" s="176"/>
      <c r="J37" s="169" t="s">
        <v>109</v>
      </c>
      <c r="K37" s="170"/>
      <c r="L37" s="184">
        <v>1</v>
      </c>
      <c r="M37" s="172" t="s">
        <v>46</v>
      </c>
      <c r="N37" s="173">
        <v>150</v>
      </c>
      <c r="O37" s="174">
        <f>L37*N37</f>
        <v>150</v>
      </c>
      <c r="P37" s="155"/>
      <c r="Q37" s="155"/>
      <c r="R37" s="155"/>
      <c r="S37" s="155"/>
      <c r="V37" s="158"/>
      <c r="W37" s="158"/>
      <c r="X37" s="158"/>
      <c r="Y37" s="158"/>
      <c r="Z37" s="159"/>
      <c r="AA37" s="159"/>
      <c r="AB37" s="159"/>
      <c r="AC37" s="159"/>
      <c r="AD37" s="159"/>
      <c r="AE37" s="159"/>
      <c r="AF37" s="159"/>
      <c r="AG37" s="159"/>
      <c r="AH37" s="159"/>
    </row>
    <row r="38" spans="1:34" s="157" customFormat="1" x14ac:dyDescent="0.25">
      <c r="A38" s="169" t="s">
        <v>151</v>
      </c>
      <c r="B38" s="170">
        <v>15</v>
      </c>
      <c r="C38" s="184">
        <v>120</v>
      </c>
      <c r="D38" s="172" t="s">
        <v>51</v>
      </c>
      <c r="E38" s="173">
        <v>0.7</v>
      </c>
      <c r="F38" s="174">
        <f t="shared" si="6"/>
        <v>84</v>
      </c>
      <c r="G38" s="175">
        <f t="shared" si="4"/>
        <v>93.333333333333329</v>
      </c>
      <c r="H38" s="174">
        <f t="shared" si="5"/>
        <v>10080</v>
      </c>
      <c r="I38" s="176"/>
      <c r="J38" s="169" t="s">
        <v>136</v>
      </c>
      <c r="K38" s="170"/>
      <c r="L38" s="184">
        <v>1</v>
      </c>
      <c r="M38" s="172" t="s">
        <v>46</v>
      </c>
      <c r="N38" s="173">
        <v>500</v>
      </c>
      <c r="O38" s="174">
        <f t="shared" ref="O38:O39" si="12">L38*N38</f>
        <v>500</v>
      </c>
      <c r="P38" s="155"/>
      <c r="Q38" s="155"/>
      <c r="R38" s="155"/>
      <c r="S38" s="155"/>
      <c r="V38" s="158"/>
      <c r="W38" s="158"/>
      <c r="X38" s="158"/>
      <c r="Y38" s="158"/>
      <c r="Z38" s="159"/>
      <c r="AA38" s="159"/>
      <c r="AB38" s="159"/>
      <c r="AC38" s="159"/>
      <c r="AD38" s="159"/>
      <c r="AE38" s="159"/>
      <c r="AF38" s="159"/>
      <c r="AG38" s="159"/>
      <c r="AH38" s="159"/>
    </row>
    <row r="39" spans="1:34" s="157" customFormat="1" x14ac:dyDescent="0.25">
      <c r="A39" s="169" t="s">
        <v>53</v>
      </c>
      <c r="B39" s="170">
        <v>16</v>
      </c>
      <c r="C39" s="184">
        <v>0</v>
      </c>
      <c r="D39" s="172" t="s">
        <v>46</v>
      </c>
      <c r="E39" s="173">
        <v>0</v>
      </c>
      <c r="F39" s="174">
        <f t="shared" si="6"/>
        <v>0</v>
      </c>
      <c r="G39" s="175">
        <f t="shared" si="4"/>
        <v>0</v>
      </c>
      <c r="H39" s="174">
        <f t="shared" si="5"/>
        <v>0</v>
      </c>
      <c r="I39" s="176"/>
      <c r="J39" s="169"/>
      <c r="K39" s="170"/>
      <c r="L39" s="184"/>
      <c r="M39" s="172"/>
      <c r="N39" s="173">
        <v>0</v>
      </c>
      <c r="O39" s="174">
        <f t="shared" si="12"/>
        <v>0</v>
      </c>
      <c r="P39" s="155"/>
      <c r="Q39" s="155"/>
      <c r="R39" s="155"/>
      <c r="S39" s="155"/>
      <c r="V39" s="158"/>
      <c r="W39" s="158"/>
      <c r="X39" s="158"/>
      <c r="Y39" s="158"/>
      <c r="Z39" s="159"/>
      <c r="AA39" s="159"/>
      <c r="AB39" s="159"/>
      <c r="AC39" s="159"/>
      <c r="AD39" s="159"/>
      <c r="AE39" s="159"/>
      <c r="AF39" s="159"/>
      <c r="AG39" s="159"/>
      <c r="AH39" s="159"/>
    </row>
    <row r="40" spans="1:34" s="157" customFormat="1" x14ac:dyDescent="0.25">
      <c r="A40" s="169" t="s">
        <v>136</v>
      </c>
      <c r="B40" s="170">
        <v>17</v>
      </c>
      <c r="C40" s="184">
        <v>1</v>
      </c>
      <c r="D40" s="172" t="s">
        <v>46</v>
      </c>
      <c r="E40" s="173">
        <v>500</v>
      </c>
      <c r="F40" s="174">
        <f t="shared" si="6"/>
        <v>500</v>
      </c>
      <c r="G40" s="175">
        <f t="shared" si="4"/>
        <v>555.55555555555554</v>
      </c>
      <c r="H40" s="174">
        <f t="shared" si="5"/>
        <v>60000</v>
      </c>
      <c r="I40" s="176"/>
      <c r="J40" s="169"/>
      <c r="K40" s="170"/>
      <c r="L40" s="184"/>
      <c r="M40" s="172"/>
      <c r="N40" s="173"/>
      <c r="O40" s="174">
        <f>L40*N40</f>
        <v>0</v>
      </c>
      <c r="P40" s="155"/>
      <c r="Q40" s="155"/>
      <c r="R40" s="155"/>
      <c r="S40" s="155"/>
      <c r="V40" s="158"/>
      <c r="W40" s="158"/>
      <c r="X40" s="158"/>
      <c r="Y40" s="158"/>
      <c r="Z40" s="159"/>
      <c r="AA40" s="159"/>
      <c r="AB40" s="159"/>
      <c r="AC40" s="159"/>
      <c r="AD40" s="159"/>
      <c r="AE40" s="159"/>
      <c r="AF40" s="159"/>
      <c r="AG40" s="159"/>
      <c r="AH40" s="159"/>
    </row>
    <row r="41" spans="1:34" s="157" customFormat="1" x14ac:dyDescent="0.25">
      <c r="A41" s="169" t="s">
        <v>109</v>
      </c>
      <c r="B41" s="170">
        <v>18</v>
      </c>
      <c r="C41" s="184">
        <v>1</v>
      </c>
      <c r="D41" s="172" t="s">
        <v>46</v>
      </c>
      <c r="E41" s="173">
        <v>150</v>
      </c>
      <c r="F41" s="174">
        <f t="shared" si="6"/>
        <v>150</v>
      </c>
      <c r="G41" s="175">
        <f t="shared" si="4"/>
        <v>166.66666666666666</v>
      </c>
      <c r="H41" s="174">
        <f t="shared" si="5"/>
        <v>18000</v>
      </c>
      <c r="I41" s="176"/>
      <c r="J41" s="169" t="s">
        <v>64</v>
      </c>
      <c r="K41" s="184"/>
      <c r="L41" s="184">
        <v>1</v>
      </c>
      <c r="M41" s="172" t="s">
        <v>46</v>
      </c>
      <c r="N41" s="173">
        <v>100</v>
      </c>
      <c r="O41" s="174">
        <f>L41*N41</f>
        <v>100</v>
      </c>
      <c r="P41" s="155"/>
      <c r="Q41" s="155"/>
      <c r="R41" s="155"/>
      <c r="S41" s="155"/>
      <c r="V41" s="158"/>
      <c r="W41" s="158"/>
      <c r="X41" s="158"/>
      <c r="Y41" s="158"/>
      <c r="Z41" s="159"/>
      <c r="AA41" s="159"/>
      <c r="AB41" s="159"/>
      <c r="AC41" s="159"/>
      <c r="AD41" s="159"/>
      <c r="AE41" s="159"/>
      <c r="AF41" s="159"/>
      <c r="AG41" s="159"/>
      <c r="AH41" s="159"/>
    </row>
    <row r="42" spans="1:34" s="157" customFormat="1" x14ac:dyDescent="0.25">
      <c r="A42" s="169" t="s">
        <v>52</v>
      </c>
      <c r="B42" s="170">
        <v>19</v>
      </c>
      <c r="C42" s="184">
        <v>1</v>
      </c>
      <c r="D42" s="172" t="s">
        <v>46</v>
      </c>
      <c r="E42" s="173">
        <v>50</v>
      </c>
      <c r="F42" s="174">
        <f t="shared" si="6"/>
        <v>50</v>
      </c>
      <c r="G42" s="175">
        <f t="shared" si="4"/>
        <v>55.555555555555557</v>
      </c>
      <c r="H42" s="174">
        <f t="shared" si="5"/>
        <v>6000</v>
      </c>
      <c r="I42" s="176"/>
      <c r="J42" s="204" t="s">
        <v>54</v>
      </c>
      <c r="K42" s="205"/>
      <c r="L42" s="206"/>
      <c r="M42" s="207"/>
      <c r="N42" s="208">
        <f>SUM(N31:N41)</f>
        <v>7778.45</v>
      </c>
      <c r="O42" s="193">
        <f>SUM(O31:O41)</f>
        <v>10785.5</v>
      </c>
      <c r="P42" s="155"/>
      <c r="Q42" s="155"/>
      <c r="R42" s="155"/>
      <c r="S42" s="155"/>
      <c r="V42" s="158"/>
      <c r="W42" s="158"/>
      <c r="X42" s="158"/>
      <c r="Y42" s="158"/>
      <c r="Z42" s="159"/>
      <c r="AA42" s="159"/>
      <c r="AB42" s="159"/>
      <c r="AC42" s="159"/>
      <c r="AD42" s="159"/>
      <c r="AE42" s="159"/>
      <c r="AF42" s="159"/>
      <c r="AG42" s="159"/>
      <c r="AH42" s="159"/>
    </row>
    <row r="43" spans="1:34" s="157" customFormat="1" ht="27.6" x14ac:dyDescent="0.25">
      <c r="A43" s="169" t="s">
        <v>84</v>
      </c>
      <c r="B43" s="170">
        <v>20</v>
      </c>
      <c r="C43" s="184">
        <v>1</v>
      </c>
      <c r="D43" s="172" t="s">
        <v>46</v>
      </c>
      <c r="E43" s="173">
        <v>200</v>
      </c>
      <c r="F43" s="174">
        <f t="shared" si="6"/>
        <v>200</v>
      </c>
      <c r="G43" s="175">
        <f t="shared" si="4"/>
        <v>222.22222222222223</v>
      </c>
      <c r="H43" s="174">
        <f t="shared" si="5"/>
        <v>24000</v>
      </c>
      <c r="I43" s="176"/>
      <c r="J43" s="151" t="s">
        <v>55</v>
      </c>
      <c r="K43" s="209" t="s">
        <v>70</v>
      </c>
      <c r="L43" s="210">
        <f>($N$31)*$B$6/12</f>
        <v>7020</v>
      </c>
      <c r="M43" s="152" t="s">
        <v>46</v>
      </c>
      <c r="N43" s="211">
        <f>Investeringskalkyl!$B$23</f>
        <v>0.05</v>
      </c>
      <c r="O43" s="174">
        <f t="shared" ref="O43:O45" si="13">L43*N43</f>
        <v>351</v>
      </c>
      <c r="P43" s="155"/>
      <c r="Q43" s="155"/>
      <c r="R43" s="155"/>
      <c r="S43" s="155"/>
      <c r="V43" s="158"/>
      <c r="W43" s="158"/>
      <c r="X43" s="158"/>
      <c r="Y43" s="158"/>
      <c r="Z43" s="159"/>
      <c r="AA43" s="159"/>
      <c r="AB43" s="159"/>
      <c r="AC43" s="159"/>
      <c r="AD43" s="159"/>
      <c r="AE43" s="159"/>
      <c r="AF43" s="159"/>
      <c r="AG43" s="159"/>
      <c r="AH43" s="159"/>
    </row>
    <row r="44" spans="1:34" s="157" customFormat="1" x14ac:dyDescent="0.25">
      <c r="A44" s="169"/>
      <c r="B44" s="170"/>
      <c r="C44" s="184"/>
      <c r="D44" s="172"/>
      <c r="E44" s="173"/>
      <c r="F44" s="174">
        <f t="shared" si="6"/>
        <v>0</v>
      </c>
      <c r="G44" s="175">
        <f t="shared" si="4"/>
        <v>0</v>
      </c>
      <c r="H44" s="174">
        <f t="shared" si="5"/>
        <v>0</v>
      </c>
      <c r="I44" s="176"/>
      <c r="J44" s="151" t="s">
        <v>111</v>
      </c>
      <c r="K44" s="209" t="s">
        <v>70</v>
      </c>
      <c r="L44" s="210">
        <f>(($O$42-$O$31)+SUM(O47:O49))*$B$6/12/2</f>
        <v>2582.75</v>
      </c>
      <c r="M44" s="152" t="s">
        <v>46</v>
      </c>
      <c r="N44" s="211">
        <f>Investeringskalkyl!$B$23</f>
        <v>0.05</v>
      </c>
      <c r="O44" s="174">
        <f t="shared" si="13"/>
        <v>129.13750000000002</v>
      </c>
      <c r="P44" s="155"/>
      <c r="Q44" s="155"/>
      <c r="R44" s="155"/>
      <c r="S44" s="155"/>
      <c r="V44" s="158"/>
      <c r="W44" s="158"/>
      <c r="X44" s="158"/>
      <c r="Y44" s="158"/>
      <c r="Z44" s="159"/>
      <c r="AA44" s="159"/>
      <c r="AB44" s="159"/>
      <c r="AC44" s="159"/>
      <c r="AD44" s="159"/>
      <c r="AE44" s="159"/>
      <c r="AF44" s="159"/>
      <c r="AG44" s="159"/>
      <c r="AH44" s="159"/>
    </row>
    <row r="45" spans="1:34" s="157" customFormat="1" x14ac:dyDescent="0.25">
      <c r="A45" s="169" t="s">
        <v>64</v>
      </c>
      <c r="B45" s="170">
        <v>21</v>
      </c>
      <c r="C45" s="184">
        <v>1</v>
      </c>
      <c r="D45" s="172" t="s">
        <v>46</v>
      </c>
      <c r="E45" s="173">
        <f>100+1800/120</f>
        <v>115</v>
      </c>
      <c r="F45" s="174">
        <f t="shared" si="6"/>
        <v>115</v>
      </c>
      <c r="G45" s="175">
        <f t="shared" si="4"/>
        <v>127.77777777777777</v>
      </c>
      <c r="H45" s="174">
        <f t="shared" si="5"/>
        <v>13800</v>
      </c>
      <c r="I45" s="176"/>
      <c r="J45" s="151"/>
      <c r="K45" s="209"/>
      <c r="L45" s="202"/>
      <c r="M45" s="212"/>
      <c r="N45" s="213"/>
      <c r="O45" s="174">
        <f t="shared" si="13"/>
        <v>0</v>
      </c>
      <c r="P45" s="155"/>
      <c r="Q45" s="155"/>
      <c r="R45" s="155"/>
      <c r="S45" s="155"/>
      <c r="V45" s="158"/>
      <c r="W45" s="158"/>
      <c r="X45" s="158"/>
      <c r="Y45" s="158"/>
      <c r="Z45" s="159"/>
      <c r="AA45" s="159"/>
      <c r="AB45" s="159"/>
      <c r="AC45" s="159"/>
      <c r="AD45" s="159"/>
      <c r="AE45" s="159"/>
      <c r="AF45" s="159"/>
      <c r="AG45" s="159"/>
      <c r="AH45" s="159"/>
    </row>
    <row r="46" spans="1:34" s="157" customFormat="1" x14ac:dyDescent="0.25">
      <c r="A46" s="214"/>
      <c r="B46" s="207" t="s">
        <v>54</v>
      </c>
      <c r="C46" s="206"/>
      <c r="D46" s="207"/>
      <c r="E46" s="215"/>
      <c r="F46" s="193">
        <f>SUM(F31:F45)</f>
        <v>5753.0583750000005</v>
      </c>
      <c r="G46" s="216">
        <f>F46/$B$5</f>
        <v>6392.2870833333336</v>
      </c>
      <c r="H46" s="217">
        <f>F46*$B$4</f>
        <v>690367.00500000012</v>
      </c>
      <c r="I46" s="176"/>
      <c r="J46" s="204" t="s">
        <v>56</v>
      </c>
      <c r="K46" s="207"/>
      <c r="L46" s="218"/>
      <c r="M46" s="207"/>
      <c r="N46" s="215" t="s">
        <v>45</v>
      </c>
      <c r="O46" s="193">
        <f>SUM(O43:O45)</f>
        <v>480.13750000000005</v>
      </c>
      <c r="P46" s="155"/>
      <c r="Q46" s="155"/>
      <c r="R46" s="155"/>
      <c r="S46" s="155"/>
      <c r="V46" s="158"/>
      <c r="W46" s="158"/>
      <c r="X46" s="158"/>
      <c r="Y46" s="158"/>
      <c r="Z46" s="159"/>
      <c r="AA46" s="159"/>
      <c r="AB46" s="159"/>
      <c r="AC46" s="159"/>
      <c r="AD46" s="159"/>
      <c r="AE46" s="159"/>
      <c r="AF46" s="159"/>
      <c r="AG46" s="159"/>
      <c r="AH46" s="159"/>
    </row>
    <row r="47" spans="1:34" s="157" customFormat="1" ht="27.6" x14ac:dyDescent="0.25">
      <c r="A47" s="151" t="s">
        <v>97</v>
      </c>
      <c r="B47" s="197"/>
      <c r="C47" s="171">
        <v>1.5</v>
      </c>
      <c r="D47" s="152" t="s">
        <v>62</v>
      </c>
      <c r="E47" s="175">
        <f>Investeringskalkyl!$F$71</f>
        <v>73605.796875</v>
      </c>
      <c r="F47" s="174">
        <f>C47/100*E47</f>
        <v>1104.086953125</v>
      </c>
      <c r="G47" s="175">
        <f t="shared" si="4"/>
        <v>1226.7632812500001</v>
      </c>
      <c r="H47" s="174">
        <f t="shared" si="5"/>
        <v>132490.43437500001</v>
      </c>
      <c r="I47" s="176"/>
      <c r="J47" s="169" t="s">
        <v>61</v>
      </c>
      <c r="K47" s="170"/>
      <c r="L47" s="183">
        <v>5</v>
      </c>
      <c r="M47" s="172" t="s">
        <v>58</v>
      </c>
      <c r="N47" s="173">
        <f>E55</f>
        <v>280</v>
      </c>
      <c r="O47" s="174">
        <f t="shared" ref="O47:O49" si="14">L47*N47</f>
        <v>1400</v>
      </c>
      <c r="P47" s="155"/>
      <c r="Q47" s="155"/>
      <c r="R47" s="155"/>
      <c r="S47" s="155"/>
      <c r="V47" s="158"/>
      <c r="W47" s="158"/>
      <c r="X47" s="158"/>
      <c r="Y47" s="158"/>
      <c r="Z47" s="159"/>
      <c r="AA47" s="159"/>
      <c r="AB47" s="159"/>
      <c r="AC47" s="159"/>
      <c r="AD47" s="159"/>
      <c r="AE47" s="159"/>
      <c r="AF47" s="159"/>
      <c r="AG47" s="159"/>
      <c r="AH47" s="159"/>
    </row>
    <row r="48" spans="1:34" s="157" customFormat="1" x14ac:dyDescent="0.25">
      <c r="A48" s="151" t="s">
        <v>55</v>
      </c>
      <c r="B48" s="209" t="s">
        <v>70</v>
      </c>
      <c r="C48" s="210">
        <f>($E$21+$E$31)/2</f>
        <v>11057.81875</v>
      </c>
      <c r="D48" s="152" t="s">
        <v>46</v>
      </c>
      <c r="E48" s="211">
        <f>Investeringskalkyl!$B$23</f>
        <v>0.05</v>
      </c>
      <c r="F48" s="174">
        <f t="shared" ref="F48:F50" si="15">C48*E48</f>
        <v>552.89093750000006</v>
      </c>
      <c r="G48" s="175">
        <f t="shared" si="4"/>
        <v>614.32326388888896</v>
      </c>
      <c r="H48" s="174">
        <f t="shared" si="5"/>
        <v>66346.912500000006</v>
      </c>
      <c r="I48" s="176"/>
      <c r="J48" s="169" t="s">
        <v>106</v>
      </c>
      <c r="K48" s="170"/>
      <c r="L48" s="184">
        <v>0</v>
      </c>
      <c r="M48" s="172" t="s">
        <v>58</v>
      </c>
      <c r="N48" s="173"/>
      <c r="O48" s="174">
        <f t="shared" si="14"/>
        <v>0</v>
      </c>
      <c r="P48" s="155"/>
      <c r="Q48" s="155"/>
      <c r="R48" s="155"/>
      <c r="S48" s="155"/>
      <c r="V48" s="158"/>
      <c r="W48" s="158"/>
      <c r="X48" s="158"/>
      <c r="Y48" s="158"/>
      <c r="Z48" s="159"/>
      <c r="AA48" s="159"/>
      <c r="AB48" s="159"/>
      <c r="AC48" s="159"/>
      <c r="AD48" s="159"/>
      <c r="AE48" s="159"/>
      <c r="AF48" s="159"/>
      <c r="AG48" s="159"/>
      <c r="AH48" s="159"/>
    </row>
    <row r="49" spans="1:36" s="157" customFormat="1" x14ac:dyDescent="0.25">
      <c r="A49" s="151" t="s">
        <v>111</v>
      </c>
      <c r="B49" s="209" t="s">
        <v>70</v>
      </c>
      <c r="C49" s="210">
        <f>(+($F$46-$F$31)+SUM(F53:F57))/2</f>
        <v>3444.75</v>
      </c>
      <c r="D49" s="152" t="s">
        <v>46</v>
      </c>
      <c r="E49" s="211">
        <f>Investeringskalkyl!$B$23</f>
        <v>0.05</v>
      </c>
      <c r="F49" s="174">
        <f t="shared" si="15"/>
        <v>172.23750000000001</v>
      </c>
      <c r="G49" s="175">
        <f t="shared" si="4"/>
        <v>191.375</v>
      </c>
      <c r="H49" s="174">
        <f t="shared" si="5"/>
        <v>20668.5</v>
      </c>
      <c r="I49" s="176"/>
      <c r="J49" s="169"/>
      <c r="K49" s="170"/>
      <c r="L49" s="184"/>
      <c r="M49" s="172"/>
      <c r="N49" s="173"/>
      <c r="O49" s="174">
        <f t="shared" si="14"/>
        <v>0</v>
      </c>
      <c r="P49" s="155"/>
      <c r="Q49" s="155"/>
      <c r="R49" s="155"/>
      <c r="S49" s="155"/>
      <c r="V49" s="158"/>
      <c r="W49" s="158"/>
      <c r="X49" s="158"/>
      <c r="Y49" s="158"/>
      <c r="Z49" s="159"/>
      <c r="AA49" s="159"/>
      <c r="AB49" s="159"/>
      <c r="AC49" s="159"/>
      <c r="AD49" s="159"/>
      <c r="AE49" s="159"/>
      <c r="AF49" s="159"/>
      <c r="AG49" s="159"/>
      <c r="AH49" s="159"/>
    </row>
    <row r="50" spans="1:36" s="157" customFormat="1" x14ac:dyDescent="0.25">
      <c r="A50" s="151"/>
      <c r="B50" s="209"/>
      <c r="C50" s="202"/>
      <c r="D50" s="212"/>
      <c r="E50" s="213"/>
      <c r="F50" s="174">
        <f t="shared" si="15"/>
        <v>0</v>
      </c>
      <c r="G50" s="175">
        <f t="shared" si="4"/>
        <v>0</v>
      </c>
      <c r="H50" s="174">
        <f t="shared" si="5"/>
        <v>0</v>
      </c>
      <c r="I50" s="176"/>
      <c r="J50" s="204" t="s">
        <v>59</v>
      </c>
      <c r="K50" s="207"/>
      <c r="L50" s="206"/>
      <c r="M50" s="207"/>
      <c r="N50" s="219"/>
      <c r="O50" s="193">
        <f>SUM(O47:O49)</f>
        <v>1400</v>
      </c>
      <c r="P50" s="155"/>
      <c r="Q50" s="155"/>
      <c r="R50" s="155"/>
      <c r="S50" s="155"/>
      <c r="V50" s="158"/>
      <c r="W50" s="158"/>
      <c r="X50" s="158"/>
      <c r="Y50" s="158"/>
      <c r="Z50" s="159"/>
      <c r="AA50" s="159"/>
      <c r="AB50" s="159"/>
      <c r="AC50" s="159"/>
      <c r="AD50" s="159"/>
      <c r="AE50" s="159"/>
      <c r="AF50" s="159"/>
      <c r="AG50" s="159"/>
      <c r="AH50" s="159"/>
    </row>
    <row r="51" spans="1:36" s="157" customFormat="1" x14ac:dyDescent="0.25">
      <c r="A51" s="220"/>
      <c r="B51" s="207" t="s">
        <v>56</v>
      </c>
      <c r="C51" s="218" t="s">
        <v>45</v>
      </c>
      <c r="D51" s="207"/>
      <c r="E51" s="215" t="s">
        <v>45</v>
      </c>
      <c r="F51" s="193">
        <f>SUM(F47:F50)</f>
        <v>1829.2153906250001</v>
      </c>
      <c r="G51" s="216">
        <f>F51/$B$5</f>
        <v>2032.4615451388888</v>
      </c>
      <c r="H51" s="217">
        <f>F51*$B$4</f>
        <v>219505.84687500002</v>
      </c>
      <c r="I51" s="176"/>
      <c r="J51" s="214" t="s">
        <v>71</v>
      </c>
      <c r="K51" s="207"/>
      <c r="L51" s="206"/>
      <c r="M51" s="207"/>
      <c r="N51" s="219"/>
      <c r="O51" s="193">
        <f>$O$42+$O$46+$O$50</f>
        <v>12665.637500000001</v>
      </c>
      <c r="P51" s="155"/>
      <c r="Q51" s="155"/>
      <c r="R51" s="155"/>
      <c r="S51" s="155"/>
      <c r="V51" s="158"/>
      <c r="W51" s="158"/>
      <c r="X51" s="158"/>
      <c r="Y51" s="158"/>
      <c r="Z51" s="159"/>
      <c r="AA51" s="159"/>
      <c r="AB51" s="159"/>
      <c r="AC51" s="159"/>
      <c r="AD51" s="159"/>
      <c r="AE51" s="159"/>
      <c r="AF51" s="159"/>
      <c r="AG51" s="159"/>
      <c r="AH51" s="159"/>
    </row>
    <row r="52" spans="1:36" s="157" customFormat="1" x14ac:dyDescent="0.25">
      <c r="A52" s="151" t="s">
        <v>57</v>
      </c>
      <c r="B52" s="209" t="s">
        <v>70</v>
      </c>
      <c r="C52" s="202">
        <f>IF(Investeringskalkyl!$C$14="dikor",1,0)</f>
        <v>1</v>
      </c>
      <c r="D52" s="212" t="s">
        <v>46</v>
      </c>
      <c r="E52" s="175">
        <f>Investeringskalkyl!$F$72*(Investeringskalkyl!$B$23/(1-(1+Investeringskalkyl!$B$23)^(-Investeringskalkyl!$B$26)))</f>
        <v>6127.9279761464268</v>
      </c>
      <c r="F52" s="174">
        <f>C52*E52</f>
        <v>6127.9279761464268</v>
      </c>
      <c r="G52" s="175">
        <f t="shared" si="4"/>
        <v>6808.808862384918</v>
      </c>
      <c r="H52" s="174">
        <f>F52*$B$4</f>
        <v>735351.35713757121</v>
      </c>
      <c r="I52" s="176"/>
      <c r="J52" s="156"/>
      <c r="K52" s="156"/>
      <c r="L52" s="155"/>
      <c r="M52" s="176"/>
      <c r="N52" s="155"/>
      <c r="O52" s="155"/>
      <c r="P52" s="155"/>
      <c r="Q52" s="155"/>
      <c r="R52" s="155"/>
      <c r="S52" s="155"/>
      <c r="V52" s="158"/>
      <c r="W52" s="158"/>
      <c r="X52" s="158"/>
      <c r="Y52" s="158"/>
      <c r="Z52" s="159"/>
      <c r="AA52" s="159"/>
      <c r="AB52" s="159"/>
      <c r="AC52" s="159"/>
      <c r="AD52" s="159"/>
      <c r="AE52" s="159"/>
      <c r="AF52" s="159"/>
      <c r="AG52" s="159"/>
      <c r="AH52" s="159"/>
    </row>
    <row r="53" spans="1:36" s="157" customFormat="1" x14ac:dyDescent="0.25">
      <c r="A53" s="169" t="s">
        <v>66</v>
      </c>
      <c r="B53" s="170">
        <v>22</v>
      </c>
      <c r="C53" s="184">
        <v>1</v>
      </c>
      <c r="D53" s="172" t="s">
        <v>45</v>
      </c>
      <c r="E53" s="221">
        <v>90</v>
      </c>
      <c r="F53" s="174">
        <f t="shared" ref="F53:F57" si="16">C53*E53</f>
        <v>90</v>
      </c>
      <c r="G53" s="175">
        <f t="shared" si="4"/>
        <v>100</v>
      </c>
      <c r="H53" s="174">
        <f t="shared" ref="H53:H57" si="17">F53*$B$4</f>
        <v>10800</v>
      </c>
      <c r="I53" s="176"/>
      <c r="J53" s="222"/>
      <c r="K53" s="155"/>
      <c r="L53" s="156"/>
      <c r="M53" s="156"/>
      <c r="N53" s="156"/>
      <c r="O53" s="176"/>
      <c r="P53" s="155"/>
      <c r="Q53" s="155"/>
      <c r="R53" s="155"/>
      <c r="S53" s="155"/>
      <c r="V53" s="158"/>
      <c r="W53" s="158"/>
      <c r="X53" s="158"/>
      <c r="Y53" s="158"/>
      <c r="Z53" s="159"/>
      <c r="AA53" s="159"/>
      <c r="AB53" s="159"/>
      <c r="AC53" s="159"/>
      <c r="AD53" s="159"/>
      <c r="AE53" s="159"/>
      <c r="AF53" s="159"/>
      <c r="AG53" s="159"/>
      <c r="AH53" s="159"/>
    </row>
    <row r="54" spans="1:36" s="157" customFormat="1" x14ac:dyDescent="0.25">
      <c r="A54" s="169" t="s">
        <v>67</v>
      </c>
      <c r="B54" s="223">
        <v>23</v>
      </c>
      <c r="C54" s="184">
        <v>1</v>
      </c>
      <c r="D54" s="172"/>
      <c r="E54" s="224">
        <v>100</v>
      </c>
      <c r="F54" s="174">
        <f t="shared" si="16"/>
        <v>100</v>
      </c>
      <c r="G54" s="175">
        <f t="shared" si="4"/>
        <v>111.11111111111111</v>
      </c>
      <c r="H54" s="174">
        <f t="shared" si="17"/>
        <v>12000</v>
      </c>
      <c r="I54" s="155"/>
      <c r="J54" s="222"/>
      <c r="K54" s="155"/>
      <c r="L54" s="156"/>
      <c r="M54" s="156"/>
      <c r="N54" s="156"/>
      <c r="O54" s="176"/>
      <c r="P54" s="155"/>
      <c r="Q54" s="155"/>
      <c r="R54" s="155"/>
      <c r="S54" s="155"/>
      <c r="V54" s="158"/>
      <c r="W54" s="158"/>
      <c r="X54" s="158"/>
      <c r="Y54" s="158"/>
      <c r="Z54" s="159"/>
      <c r="AA54" s="159"/>
      <c r="AB54" s="159"/>
      <c r="AC54" s="159"/>
      <c r="AD54" s="159"/>
      <c r="AE54" s="159"/>
      <c r="AF54" s="159"/>
      <c r="AG54" s="159"/>
      <c r="AH54" s="159"/>
    </row>
    <row r="55" spans="1:36" s="157" customFormat="1" x14ac:dyDescent="0.25">
      <c r="A55" s="169" t="s">
        <v>150</v>
      </c>
      <c r="B55" s="170">
        <v>24</v>
      </c>
      <c r="C55" s="183">
        <v>7</v>
      </c>
      <c r="D55" s="172" t="s">
        <v>58</v>
      </c>
      <c r="E55" s="173">
        <v>280</v>
      </c>
      <c r="F55" s="174">
        <f t="shared" si="16"/>
        <v>1960</v>
      </c>
      <c r="G55" s="175">
        <f t="shared" si="4"/>
        <v>2177.7777777777778</v>
      </c>
      <c r="H55" s="174">
        <f t="shared" si="17"/>
        <v>235200</v>
      </c>
      <c r="I55" s="176"/>
      <c r="J55" s="222"/>
      <c r="K55" s="155"/>
      <c r="L55" s="156"/>
      <c r="M55" s="156"/>
      <c r="N55" s="156"/>
      <c r="O55" s="176"/>
      <c r="P55" s="155"/>
      <c r="Q55" s="155"/>
      <c r="R55" s="155"/>
      <c r="S55" s="155"/>
      <c r="V55" s="158"/>
      <c r="W55" s="158"/>
      <c r="X55" s="158"/>
      <c r="Y55" s="158"/>
      <c r="Z55" s="159"/>
      <c r="AA55" s="159"/>
      <c r="AB55" s="159"/>
      <c r="AC55" s="159"/>
      <c r="AD55" s="159"/>
      <c r="AE55" s="159"/>
      <c r="AF55" s="159"/>
      <c r="AG55" s="159"/>
      <c r="AH55" s="159"/>
    </row>
    <row r="56" spans="1:36" s="157" customFormat="1" x14ac:dyDescent="0.25">
      <c r="A56" s="169" t="s">
        <v>106</v>
      </c>
      <c r="B56" s="170">
        <v>25</v>
      </c>
      <c r="C56" s="184">
        <v>0.5</v>
      </c>
      <c r="D56" s="172" t="s">
        <v>58</v>
      </c>
      <c r="E56" s="173">
        <v>280</v>
      </c>
      <c r="F56" s="174">
        <f t="shared" si="16"/>
        <v>140</v>
      </c>
      <c r="G56" s="175">
        <f t="shared" si="4"/>
        <v>155.55555555555554</v>
      </c>
      <c r="H56" s="174">
        <f t="shared" si="17"/>
        <v>16800</v>
      </c>
      <c r="I56" s="176"/>
      <c r="J56" s="222"/>
      <c r="K56" s="155"/>
      <c r="L56" s="156"/>
      <c r="M56" s="156"/>
      <c r="N56" s="156"/>
      <c r="O56" s="176"/>
      <c r="P56" s="155"/>
      <c r="Q56" s="155"/>
      <c r="R56" s="155"/>
      <c r="S56" s="155"/>
      <c r="V56" s="158"/>
      <c r="W56" s="158"/>
      <c r="X56" s="158"/>
      <c r="Y56" s="158"/>
      <c r="Z56" s="159"/>
      <c r="AA56" s="159"/>
      <c r="AB56" s="159"/>
      <c r="AC56" s="159"/>
      <c r="AD56" s="159"/>
      <c r="AE56" s="159"/>
      <c r="AF56" s="159"/>
      <c r="AG56" s="159"/>
      <c r="AH56" s="159"/>
    </row>
    <row r="57" spans="1:36" s="157" customFormat="1" x14ac:dyDescent="0.25">
      <c r="A57" s="169"/>
      <c r="B57" s="170"/>
      <c r="C57" s="184"/>
      <c r="D57" s="172"/>
      <c r="E57" s="173"/>
      <c r="F57" s="174">
        <f t="shared" si="16"/>
        <v>0</v>
      </c>
      <c r="G57" s="175">
        <f t="shared" si="4"/>
        <v>0</v>
      </c>
      <c r="H57" s="174">
        <f t="shared" si="17"/>
        <v>0</v>
      </c>
      <c r="I57" s="176"/>
      <c r="J57" s="222"/>
      <c r="K57" s="155"/>
      <c r="L57" s="156"/>
      <c r="M57" s="156"/>
      <c r="N57" s="156"/>
      <c r="O57" s="176"/>
      <c r="P57" s="155"/>
      <c r="Q57" s="155"/>
      <c r="R57" s="155"/>
      <c r="S57" s="155"/>
      <c r="V57" s="158"/>
      <c r="W57" s="158"/>
      <c r="X57" s="158"/>
      <c r="Y57" s="158"/>
      <c r="Z57" s="159"/>
      <c r="AA57" s="159"/>
      <c r="AB57" s="159"/>
      <c r="AC57" s="159"/>
      <c r="AD57" s="159"/>
      <c r="AE57" s="159"/>
      <c r="AF57" s="159"/>
      <c r="AG57" s="159"/>
      <c r="AH57" s="159"/>
    </row>
    <row r="58" spans="1:36" s="157" customFormat="1" x14ac:dyDescent="0.25">
      <c r="A58" s="225"/>
      <c r="B58" s="207" t="s">
        <v>59</v>
      </c>
      <c r="C58" s="206"/>
      <c r="D58" s="207"/>
      <c r="E58" s="219"/>
      <c r="F58" s="193">
        <f>SUM(F52:F57)</f>
        <v>8417.9279761464277</v>
      </c>
      <c r="G58" s="216">
        <f>F58/$B$5</f>
        <v>9353.2533068293633</v>
      </c>
      <c r="H58" s="217">
        <f>F58*$B$4</f>
        <v>1010151.3571375713</v>
      </c>
      <c r="I58" s="155"/>
      <c r="J58" s="156"/>
      <c r="K58" s="176"/>
      <c r="L58" s="155"/>
      <c r="M58" s="155"/>
      <c r="N58" s="155"/>
      <c r="O58" s="155"/>
      <c r="P58" s="155"/>
      <c r="Q58" s="155"/>
      <c r="R58" s="155"/>
      <c r="S58" s="155"/>
      <c r="V58" s="158"/>
      <c r="W58" s="158"/>
      <c r="X58" s="158"/>
      <c r="Y58" s="158"/>
      <c r="Z58" s="159"/>
      <c r="AA58" s="159"/>
      <c r="AB58" s="159"/>
      <c r="AC58" s="159"/>
      <c r="AD58" s="159"/>
      <c r="AE58" s="159"/>
      <c r="AF58" s="159"/>
      <c r="AG58" s="159"/>
      <c r="AH58" s="159"/>
    </row>
    <row r="59" spans="1:36" s="157" customFormat="1" x14ac:dyDescent="0.25">
      <c r="A59" s="214" t="s">
        <v>71</v>
      </c>
      <c r="B59" s="207"/>
      <c r="C59" s="206"/>
      <c r="D59" s="207"/>
      <c r="E59" s="219"/>
      <c r="F59" s="193">
        <f>$F$46+$F$51+$F$58</f>
        <v>16000.201741771429</v>
      </c>
      <c r="G59" s="216">
        <f t="shared" si="4"/>
        <v>17778.001935301589</v>
      </c>
      <c r="H59" s="217">
        <f>F59*$B$4</f>
        <v>1920024.2090125715</v>
      </c>
      <c r="I59" s="155"/>
      <c r="J59" s="156"/>
      <c r="K59" s="176"/>
      <c r="L59" s="155"/>
      <c r="M59" s="155"/>
      <c r="N59" s="155"/>
      <c r="O59" s="155"/>
      <c r="P59" s="155"/>
      <c r="Q59" s="155"/>
      <c r="R59" s="155"/>
      <c r="S59" s="155"/>
      <c r="V59" s="158"/>
      <c r="W59" s="158"/>
      <c r="X59" s="158"/>
      <c r="Y59" s="158"/>
      <c r="Z59" s="159"/>
      <c r="AA59" s="159"/>
      <c r="AB59" s="159"/>
      <c r="AC59" s="159"/>
      <c r="AD59" s="159"/>
      <c r="AE59" s="159"/>
      <c r="AF59" s="159"/>
      <c r="AG59" s="159"/>
      <c r="AH59" s="159"/>
    </row>
    <row r="60" spans="1:36" s="157" customFormat="1" x14ac:dyDescent="0.25">
      <c r="A60" s="151"/>
      <c r="B60" s="155"/>
      <c r="C60" s="155"/>
      <c r="D60" s="155"/>
      <c r="E60" s="155"/>
      <c r="F60" s="226"/>
      <c r="G60" s="227"/>
      <c r="H60" s="228"/>
      <c r="I60" s="155"/>
      <c r="J60" s="156"/>
      <c r="K60" s="176"/>
      <c r="L60" s="155"/>
      <c r="M60" s="155"/>
      <c r="N60" s="155"/>
      <c r="O60" s="155"/>
      <c r="P60" s="155"/>
      <c r="Q60" s="155"/>
      <c r="R60" s="155"/>
      <c r="S60" s="155"/>
      <c r="V60" s="158"/>
      <c r="W60" s="158"/>
      <c r="X60" s="158"/>
      <c r="Y60" s="158"/>
      <c r="Z60" s="159"/>
      <c r="AA60" s="159"/>
      <c r="AB60" s="159"/>
      <c r="AC60" s="159"/>
      <c r="AD60" s="159"/>
      <c r="AE60" s="159"/>
      <c r="AF60" s="159"/>
      <c r="AG60" s="159"/>
      <c r="AH60" s="159"/>
    </row>
    <row r="61" spans="1:36" s="157" customFormat="1" x14ac:dyDescent="0.25">
      <c r="A61" s="229"/>
      <c r="C61" s="155"/>
      <c r="D61" s="155"/>
      <c r="E61" s="178"/>
      <c r="F61" s="202"/>
      <c r="G61" s="227"/>
      <c r="H61" s="155"/>
      <c r="I61" s="222"/>
      <c r="J61" s="156"/>
      <c r="K61" s="176"/>
      <c r="L61" s="155"/>
      <c r="M61" s="155"/>
      <c r="N61" s="155"/>
      <c r="O61" s="155"/>
      <c r="P61" s="155"/>
      <c r="Q61" s="155"/>
      <c r="R61" s="155"/>
      <c r="S61" s="155"/>
      <c r="T61" s="155"/>
      <c r="U61" s="155"/>
      <c r="X61" s="158"/>
      <c r="Y61" s="158"/>
      <c r="Z61" s="158"/>
      <c r="AA61" s="158"/>
      <c r="AB61" s="159"/>
      <c r="AC61" s="159"/>
      <c r="AD61" s="159"/>
      <c r="AE61" s="159"/>
      <c r="AF61" s="159"/>
      <c r="AG61" s="159"/>
      <c r="AH61" s="159"/>
      <c r="AI61" s="159"/>
      <c r="AJ61" s="159"/>
    </row>
    <row r="62" spans="1:36" s="157" customFormat="1" x14ac:dyDescent="0.25">
      <c r="A62" s="229"/>
      <c r="C62" s="155"/>
      <c r="D62" s="155"/>
      <c r="E62" s="178"/>
      <c r="G62" s="227"/>
      <c r="H62" s="155"/>
      <c r="I62" s="230"/>
      <c r="J62" s="156"/>
      <c r="K62" s="176"/>
      <c r="L62" s="155"/>
      <c r="M62" s="155"/>
      <c r="N62" s="155"/>
      <c r="O62" s="155"/>
      <c r="P62" s="155"/>
      <c r="Q62" s="155"/>
      <c r="R62" s="155"/>
      <c r="S62" s="155"/>
      <c r="T62" s="155"/>
      <c r="U62" s="155"/>
      <c r="X62" s="158"/>
      <c r="Y62" s="158"/>
      <c r="Z62" s="158"/>
      <c r="AA62" s="158"/>
      <c r="AB62" s="159"/>
      <c r="AC62" s="159"/>
      <c r="AD62" s="159"/>
      <c r="AE62" s="159"/>
      <c r="AF62" s="159"/>
      <c r="AG62" s="159"/>
      <c r="AH62" s="159"/>
      <c r="AI62" s="159"/>
      <c r="AJ62" s="159"/>
    </row>
    <row r="63" spans="1:36" s="157" customFormat="1" x14ac:dyDescent="0.25">
      <c r="A63" s="229"/>
      <c r="C63" s="155"/>
      <c r="D63" s="155"/>
      <c r="E63" s="178"/>
      <c r="G63" s="227"/>
      <c r="H63" s="155"/>
      <c r="I63" s="230"/>
      <c r="J63" s="156"/>
      <c r="K63" s="176"/>
      <c r="L63" s="155"/>
      <c r="M63" s="155"/>
      <c r="N63" s="155"/>
      <c r="O63" s="155"/>
      <c r="P63" s="155"/>
      <c r="Q63" s="155"/>
      <c r="R63" s="155"/>
      <c r="S63" s="155"/>
      <c r="T63" s="155"/>
      <c r="U63" s="155"/>
      <c r="X63" s="158"/>
      <c r="Y63" s="158"/>
      <c r="Z63" s="158"/>
      <c r="AA63" s="158"/>
      <c r="AB63" s="159"/>
      <c r="AC63" s="159"/>
      <c r="AD63" s="159"/>
      <c r="AE63" s="159"/>
      <c r="AF63" s="159"/>
      <c r="AG63" s="159"/>
      <c r="AH63" s="159"/>
      <c r="AI63" s="159"/>
      <c r="AJ63" s="159"/>
    </row>
    <row r="64" spans="1:36" s="157" customFormat="1" x14ac:dyDescent="0.25">
      <c r="A64" s="229"/>
      <c r="C64" s="155"/>
      <c r="D64" s="155"/>
      <c r="E64" s="178"/>
      <c r="G64" s="227"/>
      <c r="H64" s="155"/>
      <c r="I64" s="222"/>
      <c r="J64" s="126"/>
      <c r="K64" s="126"/>
      <c r="L64" s="126"/>
      <c r="M64" s="126"/>
      <c r="N64" s="126"/>
      <c r="O64" s="126"/>
      <c r="P64" s="155"/>
      <c r="Q64" s="155"/>
      <c r="R64" s="155"/>
      <c r="S64" s="155"/>
      <c r="T64" s="155"/>
      <c r="U64" s="155"/>
      <c r="X64" s="158"/>
      <c r="Y64" s="158"/>
      <c r="Z64" s="158"/>
      <c r="AA64" s="158"/>
      <c r="AB64" s="159"/>
      <c r="AC64" s="159"/>
      <c r="AD64" s="159"/>
      <c r="AE64" s="159"/>
      <c r="AF64" s="159"/>
      <c r="AG64" s="159"/>
      <c r="AH64" s="159"/>
      <c r="AI64" s="159"/>
      <c r="AJ64" s="159"/>
    </row>
    <row r="65" spans="1:36" s="157" customFormat="1" x14ac:dyDescent="0.25">
      <c r="A65" s="229"/>
      <c r="C65" s="155"/>
      <c r="D65" s="155"/>
      <c r="E65" s="178"/>
      <c r="G65" s="227"/>
      <c r="H65" s="155"/>
      <c r="I65" s="222"/>
      <c r="J65" s="126"/>
      <c r="K65" s="126"/>
      <c r="L65" s="126"/>
      <c r="M65" s="126"/>
      <c r="N65" s="126"/>
      <c r="O65" s="126"/>
      <c r="P65" s="155"/>
      <c r="Q65" s="155"/>
      <c r="R65" s="155"/>
      <c r="S65" s="155"/>
      <c r="T65" s="155"/>
      <c r="U65" s="155"/>
      <c r="X65" s="158"/>
      <c r="Y65" s="158"/>
      <c r="Z65" s="158"/>
      <c r="AA65" s="158"/>
      <c r="AB65" s="159"/>
      <c r="AC65" s="159"/>
      <c r="AD65" s="159"/>
      <c r="AE65" s="159"/>
      <c r="AF65" s="159"/>
      <c r="AG65" s="159"/>
      <c r="AH65" s="159"/>
      <c r="AI65" s="159"/>
      <c r="AJ65" s="159"/>
    </row>
    <row r="66" spans="1:36" s="157" customFormat="1" x14ac:dyDescent="0.25">
      <c r="A66" s="229"/>
      <c r="C66" s="155"/>
      <c r="D66" s="155"/>
      <c r="E66" s="178"/>
      <c r="G66" s="156"/>
      <c r="H66" s="155"/>
      <c r="I66" s="156"/>
      <c r="J66" s="126"/>
      <c r="K66" s="126"/>
      <c r="L66" s="126"/>
      <c r="M66" s="126"/>
      <c r="N66" s="126"/>
      <c r="O66" s="126"/>
      <c r="P66" s="155"/>
      <c r="Q66" s="155"/>
      <c r="T66" s="158"/>
      <c r="U66" s="158"/>
      <c r="V66" s="158"/>
      <c r="W66" s="158"/>
      <c r="X66" s="159"/>
      <c r="Y66" s="159"/>
      <c r="Z66" s="159"/>
      <c r="AA66" s="159"/>
      <c r="AB66" s="159"/>
      <c r="AC66" s="159"/>
      <c r="AD66" s="159"/>
      <c r="AE66" s="159"/>
      <c r="AF66" s="159"/>
    </row>
    <row r="67" spans="1:36" s="157" customFormat="1" x14ac:dyDescent="0.25">
      <c r="A67" s="229"/>
      <c r="C67" s="155"/>
      <c r="D67" s="155"/>
      <c r="E67" s="178"/>
      <c r="G67" s="156"/>
      <c r="H67" s="155"/>
      <c r="I67" s="156"/>
      <c r="J67" s="126"/>
      <c r="K67" s="126"/>
      <c r="L67" s="126"/>
      <c r="M67" s="126"/>
      <c r="N67" s="126"/>
      <c r="O67" s="126"/>
      <c r="P67" s="155"/>
      <c r="Q67" s="155"/>
      <c r="T67" s="158"/>
      <c r="U67" s="158"/>
      <c r="V67" s="158"/>
      <c r="W67" s="158"/>
      <c r="X67" s="159"/>
      <c r="Y67" s="159"/>
      <c r="Z67" s="159"/>
      <c r="AA67" s="159"/>
      <c r="AB67" s="159"/>
      <c r="AC67" s="159"/>
      <c r="AD67" s="159"/>
      <c r="AE67" s="159"/>
      <c r="AF67" s="159"/>
    </row>
    <row r="68" spans="1:36" s="157" customFormat="1" x14ac:dyDescent="0.25">
      <c r="C68" s="155"/>
      <c r="D68" s="155"/>
      <c r="E68" s="178"/>
      <c r="G68" s="156"/>
      <c r="H68" s="155"/>
      <c r="I68" s="156"/>
      <c r="J68" s="126"/>
      <c r="K68" s="126"/>
      <c r="L68" s="126"/>
      <c r="M68" s="126"/>
      <c r="N68" s="126"/>
      <c r="O68" s="126"/>
      <c r="P68" s="155"/>
      <c r="Q68" s="155"/>
      <c r="T68" s="158"/>
      <c r="U68" s="158"/>
      <c r="V68" s="158"/>
      <c r="W68" s="158"/>
      <c r="X68" s="159"/>
      <c r="Y68" s="159"/>
      <c r="Z68" s="159"/>
      <c r="AA68" s="159"/>
      <c r="AB68" s="159"/>
      <c r="AC68" s="159"/>
      <c r="AD68" s="159"/>
      <c r="AE68" s="159"/>
      <c r="AF68" s="159"/>
    </row>
    <row r="69" spans="1:36" s="157" customFormat="1" x14ac:dyDescent="0.25">
      <c r="C69" s="155"/>
      <c r="D69" s="155"/>
      <c r="E69" s="178"/>
      <c r="G69" s="156"/>
      <c r="H69" s="155"/>
      <c r="I69" s="156"/>
      <c r="J69" s="126"/>
      <c r="K69" s="126"/>
      <c r="L69" s="126"/>
      <c r="M69" s="126"/>
      <c r="N69" s="126"/>
      <c r="O69" s="126"/>
      <c r="P69" s="155"/>
      <c r="Q69" s="155"/>
      <c r="T69" s="158"/>
      <c r="U69" s="158"/>
      <c r="V69" s="158"/>
      <c r="W69" s="158"/>
      <c r="X69" s="159"/>
      <c r="Y69" s="159"/>
      <c r="Z69" s="159"/>
      <c r="AA69" s="159"/>
      <c r="AB69" s="159"/>
      <c r="AC69" s="159"/>
    </row>
    <row r="70" spans="1:36" s="157" customFormat="1" x14ac:dyDescent="0.25">
      <c r="C70" s="155"/>
      <c r="D70" s="155"/>
      <c r="E70" s="178"/>
      <c r="G70" s="156"/>
      <c r="H70" s="155"/>
      <c r="I70" s="156"/>
      <c r="J70" s="126"/>
      <c r="K70" s="126"/>
      <c r="L70" s="126"/>
      <c r="M70" s="126"/>
      <c r="N70" s="126"/>
      <c r="O70" s="126"/>
      <c r="P70" s="155"/>
      <c r="Q70" s="155"/>
      <c r="T70" s="158"/>
      <c r="U70" s="158"/>
      <c r="V70" s="158"/>
      <c r="W70" s="158"/>
      <c r="X70" s="159"/>
      <c r="Y70" s="159"/>
      <c r="Z70" s="159"/>
      <c r="AA70" s="159"/>
      <c r="AB70" s="159"/>
      <c r="AC70" s="159"/>
    </row>
    <row r="71" spans="1:36" s="157" customFormat="1" x14ac:dyDescent="0.25">
      <c r="C71" s="155"/>
      <c r="D71" s="155"/>
      <c r="E71" s="178"/>
      <c r="G71" s="156"/>
      <c r="H71" s="155"/>
      <c r="I71" s="156"/>
      <c r="J71" s="126"/>
      <c r="K71" s="126"/>
      <c r="L71" s="126"/>
      <c r="M71" s="126"/>
      <c r="N71" s="126"/>
      <c r="O71" s="126"/>
      <c r="P71" s="155"/>
      <c r="Q71" s="155"/>
      <c r="T71" s="158"/>
      <c r="U71" s="158"/>
      <c r="V71" s="158"/>
      <c r="W71" s="158"/>
      <c r="X71" s="159"/>
      <c r="Y71" s="159"/>
      <c r="Z71" s="159"/>
      <c r="AA71" s="159"/>
      <c r="AB71" s="159"/>
      <c r="AC71" s="159"/>
    </row>
    <row r="72" spans="1:36" x14ac:dyDescent="0.25">
      <c r="C72" s="155"/>
      <c r="D72" s="155"/>
      <c r="E72" s="178"/>
      <c r="F72" s="157"/>
      <c r="H72" s="155"/>
      <c r="P72" s="155"/>
    </row>
    <row r="73" spans="1:36" x14ac:dyDescent="0.25">
      <c r="C73" s="155"/>
      <c r="D73" s="155"/>
      <c r="E73" s="178"/>
      <c r="F73" s="157"/>
      <c r="H73" s="155"/>
    </row>
    <row r="74" spans="1:36" x14ac:dyDescent="0.25">
      <c r="B74" s="231"/>
    </row>
    <row r="75" spans="1:36" x14ac:dyDescent="0.25">
      <c r="B75" s="231"/>
    </row>
    <row r="76" spans="1:36" x14ac:dyDescent="0.25">
      <c r="B76" s="231"/>
    </row>
  </sheetData>
  <pageMargins left="0.23622047244094491" right="0.23622047244094491" top="0.35433070866141736" bottom="0.35433070866141736" header="0.31496062992125984" footer="0.31496062992125984"/>
  <pageSetup paperSize="9" scale="7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4" sqref="G4"/>
    </sheetView>
  </sheetViews>
  <sheetFormatPr defaultRowHeight="14.4" x14ac:dyDescent="0.3"/>
  <sheetData>
    <row r="1" spans="1:1" ht="18" x14ac:dyDescent="0.35">
      <c r="A1" s="3" t="s">
        <v>142</v>
      </c>
    </row>
    <row r="2" spans="1:1" x14ac:dyDescent="0.3">
      <c r="A2" t="s">
        <v>44</v>
      </c>
    </row>
    <row r="3" spans="1:1" x14ac:dyDescent="0.3">
      <c r="A3" t="s">
        <v>39</v>
      </c>
    </row>
    <row r="4" spans="1:1" x14ac:dyDescent="0.3">
      <c r="A4" t="s">
        <v>40</v>
      </c>
    </row>
    <row r="5" spans="1:1" x14ac:dyDescent="0.3">
      <c r="A5" t="s">
        <v>110</v>
      </c>
    </row>
    <row r="6" spans="1:1" x14ac:dyDescent="0.3">
      <c r="A6" t="s">
        <v>41</v>
      </c>
    </row>
    <row r="7" spans="1:1" x14ac:dyDescent="0.3">
      <c r="A7" t="s">
        <v>42</v>
      </c>
    </row>
    <row r="8" spans="1:1" x14ac:dyDescent="0.3">
      <c r="A8" t="s">
        <v>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M22" sqref="M22"/>
    </sheetView>
  </sheetViews>
  <sheetFormatPr defaultColWidth="9.109375" defaultRowHeight="15" x14ac:dyDescent="0.35"/>
  <cols>
    <col min="1" max="16384" width="9.109375" style="4"/>
  </cols>
  <sheetData>
    <row r="1" spans="1:14" ht="15.6" thickBot="1" x14ac:dyDescent="0.4"/>
    <row r="2" spans="1:14" x14ac:dyDescent="0.35">
      <c r="K2" s="6"/>
      <c r="L2" s="7"/>
      <c r="M2" s="7"/>
      <c r="N2" s="8"/>
    </row>
    <row r="3" spans="1:14" ht="15.6" thickBot="1" x14ac:dyDescent="0.4">
      <c r="K3" s="9"/>
      <c r="L3" s="10"/>
      <c r="M3" s="10"/>
      <c r="N3" s="11"/>
    </row>
    <row r="5" spans="1:14" x14ac:dyDescent="0.35">
      <c r="A5" s="5"/>
    </row>
    <row r="10" spans="1:14" x14ac:dyDescent="0.35">
      <c r="D10" s="5"/>
    </row>
    <row r="12" spans="1:14" x14ac:dyDescent="0.35">
      <c r="A12"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Intro</vt:lpstr>
      <vt:lpstr>Investeringskalkyl</vt:lpstr>
      <vt:lpstr>Driftkalkyl - Dikor</vt:lpstr>
      <vt:lpstr>Blad10</vt:lpstr>
      <vt:lpstr>Blad11</vt:lpstr>
      <vt:lpstr>Djurslag</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2017-09-29T14:00:15Z</cp:lastPrinted>
  <dcterms:created xsi:type="dcterms:W3CDTF">2016-06-01T07:08:09Z</dcterms:created>
  <dcterms:modified xsi:type="dcterms:W3CDTF">2018-03-06T13:09:51Z</dcterms:modified>
</cp:coreProperties>
</file>