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G:\Avdelning\Landsbygdsavdelningen\6.Landsbygdsutvecklingsenheten\Konkurrenskraft\Kompetensutveckling\Upphandlingar\Stalltävling 2016\Leverans o bedömning\Leveranser\Smågrisar - Espert\Slutleverans\"/>
    </mc:Choice>
  </mc:AlternateContent>
  <bookViews>
    <workbookView xWindow="0" yWindow="0" windowWidth="25200" windowHeight="11592" tabRatio="800" activeTab="1"/>
  </bookViews>
  <sheets>
    <sheet name="Intro" sheetId="9" r:id="rId1"/>
    <sheet name="Investeringskalkyl" sheetId="1" r:id="rId2"/>
    <sheet name="Driftkalkyl - Smågrisar" sheetId="11" r:id="rId3"/>
    <sheet name="Noter " sheetId="15" r:id="rId4"/>
    <sheet name="Blad10" sheetId="10" r:id="rId5"/>
    <sheet name="ersättningsnivå" sheetId="13" r:id="rId6"/>
    <sheet name="Blad1" sheetId="14" r:id="rId7"/>
  </sheets>
  <externalReferences>
    <externalReference r:id="rId8"/>
  </externalReferences>
  <definedNames>
    <definedName name="blue_a2" localSheetId="3">#REF!</definedName>
    <definedName name="blue_a2">#REF!</definedName>
    <definedName name="Djurslag" localSheetId="3">[1]Blad10!$A$3:$A$8</definedName>
    <definedName name="Djurslag">Blad10!$A$3:$A$8</definedName>
    <definedName name="pristyp">#REF!</definedName>
    <definedName name="prodstorlek">#REF!</definedName>
    <definedName name="stodomrade">#REF!</definedName>
    <definedName name="_xlnm.Print_Area" localSheetId="2">'Driftkalkyl - Smågrisar'!$A$1:$I$56</definedName>
    <definedName name="_xlnm.Print_Area" localSheetId="3">'Noter '!$B$1:$L$140</definedName>
    <definedName name="Välj_djurslag">Blad10!$A$2:$A$8</definedName>
  </definedNames>
  <calcPr calcId="162913"/>
</workbook>
</file>

<file path=xl/calcChain.xml><?xml version="1.0" encoding="utf-8"?>
<calcChain xmlns="http://schemas.openxmlformats.org/spreadsheetml/2006/main">
  <c r="F38" i="11" l="1"/>
  <c r="B5" i="11"/>
  <c r="G40" i="11" s="1"/>
  <c r="G135" i="15"/>
  <c r="G132" i="15"/>
  <c r="E119" i="15"/>
  <c r="F119" i="15" s="1"/>
  <c r="E117" i="15"/>
  <c r="F117" i="15" s="1"/>
  <c r="D117" i="15"/>
  <c r="E19" i="11"/>
  <c r="E124" i="15"/>
  <c r="F126" i="15" s="1"/>
  <c r="D124" i="15"/>
  <c r="B112" i="15"/>
  <c r="F109" i="15"/>
  <c r="E108" i="15"/>
  <c r="D108" i="15"/>
  <c r="B104" i="15"/>
  <c r="F102" i="15"/>
  <c r="E101" i="15"/>
  <c r="D101" i="15"/>
  <c r="B98" i="15"/>
  <c r="E93" i="15"/>
  <c r="E94" i="15" s="1"/>
  <c r="D93" i="15"/>
  <c r="D94" i="15"/>
  <c r="F86" i="15"/>
  <c r="E84" i="15"/>
  <c r="D84" i="15"/>
  <c r="E83" i="15"/>
  <c r="D83" i="15"/>
  <c r="F85" i="15" s="1"/>
  <c r="F73" i="15"/>
  <c r="E71" i="15"/>
  <c r="D71" i="15"/>
  <c r="E70" i="15"/>
  <c r="D70" i="15"/>
  <c r="E57" i="15"/>
  <c r="D57" i="15"/>
  <c r="E43" i="15"/>
  <c r="D43" i="15"/>
  <c r="E42" i="15"/>
  <c r="D42" i="15"/>
  <c r="B30" i="15"/>
  <c r="B29" i="15"/>
  <c r="B28" i="15"/>
  <c r="B27" i="15"/>
  <c r="F25" i="15"/>
  <c r="E24" i="15"/>
  <c r="D24" i="15"/>
  <c r="B20" i="15"/>
  <c r="E16" i="15"/>
  <c r="E17" i="15" s="1"/>
  <c r="D16" i="15"/>
  <c r="D17" i="15"/>
  <c r="B12" i="15"/>
  <c r="D8" i="15"/>
  <c r="F9" i="15" s="1"/>
  <c r="E7" i="15"/>
  <c r="E8" i="15"/>
  <c r="B3" i="15"/>
  <c r="F44" i="15"/>
  <c r="D125" i="15"/>
  <c r="G11" i="14"/>
  <c r="G10" i="14"/>
  <c r="G7" i="14"/>
  <c r="G6" i="14"/>
  <c r="G5" i="14"/>
  <c r="C5" i="14"/>
  <c r="C8" i="14" s="1"/>
  <c r="G12" i="14"/>
  <c r="H12" i="14" s="1"/>
  <c r="C53" i="11"/>
  <c r="F36" i="11"/>
  <c r="C46" i="11"/>
  <c r="F46" i="11" s="1"/>
  <c r="F38" i="1"/>
  <c r="F42" i="1" s="1"/>
  <c r="E47" i="11"/>
  <c r="E46" i="11"/>
  <c r="C66" i="1"/>
  <c r="C18" i="11"/>
  <c r="F18" i="11" s="1"/>
  <c r="G18" i="11" s="1"/>
  <c r="F24" i="11"/>
  <c r="F19" i="11"/>
  <c r="G19" i="11" s="1"/>
  <c r="C49" i="11"/>
  <c r="F33" i="11"/>
  <c r="G33" i="11"/>
  <c r="B4" i="11"/>
  <c r="F53" i="11"/>
  <c r="F46" i="1"/>
  <c r="F44" i="1"/>
  <c r="F34" i="1"/>
  <c r="F36" i="1" s="1"/>
  <c r="F35" i="1"/>
  <c r="B25" i="1"/>
  <c r="F50" i="11"/>
  <c r="H50" i="11" s="1"/>
  <c r="F51" i="11"/>
  <c r="G51" i="11" s="1"/>
  <c r="F52" i="11"/>
  <c r="H52" i="11" s="1"/>
  <c r="F67" i="1"/>
  <c r="F50" i="1"/>
  <c r="F56" i="1"/>
  <c r="F30" i="11"/>
  <c r="H30" i="11"/>
  <c r="F34" i="11"/>
  <c r="F35" i="11"/>
  <c r="H35" i="11" s="1"/>
  <c r="F37" i="11"/>
  <c r="G37" i="11" s="1"/>
  <c r="F39" i="11"/>
  <c r="H39" i="11" s="1"/>
  <c r="F40" i="11"/>
  <c r="F41" i="11"/>
  <c r="F42" i="11"/>
  <c r="F43" i="11"/>
  <c r="G43" i="11" s="1"/>
  <c r="F29" i="11"/>
  <c r="F63" i="1"/>
  <c r="H29" i="11"/>
  <c r="G34" i="11"/>
  <c r="G41" i="11"/>
  <c r="H24" i="11"/>
  <c r="B18" i="1"/>
  <c r="G24" i="11" l="1"/>
  <c r="G52" i="11"/>
  <c r="G53" i="11"/>
  <c r="G36" i="11"/>
  <c r="G35" i="11"/>
  <c r="G29" i="11"/>
  <c r="G39" i="11"/>
  <c r="G50" i="11"/>
  <c r="H51" i="11"/>
  <c r="F95" i="15"/>
  <c r="F45" i="15"/>
  <c r="E125" i="15"/>
  <c r="G30" i="11"/>
  <c r="C13" i="14"/>
  <c r="F18" i="15"/>
  <c r="G46" i="11"/>
  <c r="H46" i="11"/>
  <c r="G119" i="15"/>
  <c r="H38" i="11"/>
  <c r="H19" i="11"/>
  <c r="H41" i="11"/>
  <c r="H18" i="11"/>
  <c r="H26" i="11" s="1"/>
  <c r="H37" i="11"/>
  <c r="H34" i="11"/>
  <c r="H33" i="11"/>
  <c r="H43" i="11"/>
  <c r="H40" i="11"/>
  <c r="H53" i="11"/>
  <c r="B10" i="11" s="1"/>
  <c r="H36" i="11"/>
  <c r="F44" i="11"/>
  <c r="H44" i="11" s="1"/>
  <c r="G42" i="11"/>
  <c r="H42" i="11"/>
  <c r="F68" i="1"/>
  <c r="F74" i="1" s="1"/>
  <c r="G26" i="11"/>
  <c r="F26" i="11"/>
  <c r="G38" i="11"/>
  <c r="C47" i="11" l="1"/>
  <c r="F47" i="11" s="1"/>
  <c r="H47" i="11" s="1"/>
  <c r="G44" i="11"/>
  <c r="B12" i="11"/>
  <c r="F71" i="1"/>
  <c r="E45" i="11" s="1"/>
  <c r="F45" i="11" s="1"/>
  <c r="F69" i="1"/>
  <c r="F70" i="1" s="1"/>
  <c r="B20" i="1" s="1"/>
  <c r="F48" i="11" l="1"/>
  <c r="H48" i="11" s="1"/>
  <c r="G47" i="11"/>
  <c r="G45" i="11"/>
  <c r="H45" i="11"/>
  <c r="F72" i="1"/>
  <c r="E49" i="11" s="1"/>
  <c r="F49" i="11" s="1"/>
  <c r="G49" i="11" s="1"/>
  <c r="G48" i="11" l="1"/>
  <c r="B13" i="11"/>
  <c r="H49" i="11"/>
  <c r="F54" i="11"/>
  <c r="H54" i="11" s="1"/>
  <c r="G54" i="11" l="1"/>
  <c r="B14" i="11"/>
  <c r="B8" i="11" s="1"/>
  <c r="F55" i="11"/>
  <c r="G55" i="11" s="1"/>
  <c r="H55" i="11" l="1"/>
  <c r="B9" i="11"/>
  <c r="B21" i="1"/>
  <c r="B22" i="1" s="1"/>
  <c r="B27" i="1" l="1"/>
  <c r="B28" i="1"/>
</calcChain>
</file>

<file path=xl/comments1.xml><?xml version="1.0" encoding="utf-8"?>
<comments xmlns="http://schemas.openxmlformats.org/spreadsheetml/2006/main">
  <authors>
    <author>Jonas Fjertorp</author>
  </authors>
  <commentList>
    <comment ref="E52" authorId="0" shapeId="0">
      <text>
        <r>
          <rPr>
            <sz val="9"/>
            <color indexed="81"/>
            <rFont val="Tahoma"/>
            <family val="2"/>
          </rPr>
          <t>Minst 220 kr per timme (inkl. sociala avgifter och försäkringar)</t>
        </r>
      </text>
    </comment>
  </commentList>
</comments>
</file>

<file path=xl/sharedStrings.xml><?xml version="1.0" encoding="utf-8"?>
<sst xmlns="http://schemas.openxmlformats.org/spreadsheetml/2006/main" count="339" uniqueCount="264">
  <si>
    <t>Total yta</t>
  </si>
  <si>
    <t>m2</t>
  </si>
  <si>
    <t>Byggdelar</t>
  </si>
  <si>
    <t>Utgift</t>
  </si>
  <si>
    <t>Kr/enhet</t>
  </si>
  <si>
    <t>Antal/yta</t>
  </si>
  <si>
    <t>Not</t>
  </si>
  <si>
    <t>Markarbete</t>
  </si>
  <si>
    <t>Byggnad</t>
  </si>
  <si>
    <t>Stallbyggnad</t>
  </si>
  <si>
    <t>Personalutrymmen</t>
  </si>
  <si>
    <t>Foderutrymmen</t>
  </si>
  <si>
    <t>Övriga serviceutrymmen</t>
  </si>
  <si>
    <t>Installationer</t>
  </si>
  <si>
    <t xml:space="preserve">Vatten, framdragning/anslutning </t>
  </si>
  <si>
    <t>VA-installationer</t>
  </si>
  <si>
    <t>El framdragning/anslutning</t>
  </si>
  <si>
    <t>El-installationer</t>
  </si>
  <si>
    <t>Ventilation</t>
  </si>
  <si>
    <t>Övriga installationer</t>
  </si>
  <si>
    <t>Gödselvårdsanläggning</t>
  </si>
  <si>
    <t>Utgödsling</t>
  </si>
  <si>
    <t>Gödselpump</t>
  </si>
  <si>
    <t>Pumpbrunn</t>
  </si>
  <si>
    <t>Gödselledningar</t>
  </si>
  <si>
    <t>Gödselbrunn</t>
  </si>
  <si>
    <t>Byggledning</t>
  </si>
  <si>
    <t>Markarbete för byggnader &amp; brunnar</t>
  </si>
  <si>
    <t>Vägar &amp; planer</t>
  </si>
  <si>
    <t>Inredning &amp; utrustning</t>
  </si>
  <si>
    <t>Delsumma markarbete</t>
  </si>
  <si>
    <t>Delsumma installationer</t>
  </si>
  <si>
    <t>Delsumma inredning &amp; utrustning</t>
  </si>
  <si>
    <t>Delsumma gödselvårdsanläggning</t>
  </si>
  <si>
    <t>Enhet</t>
  </si>
  <si>
    <t>Antal djurplatser</t>
  </si>
  <si>
    <t>Utrymmen för besök</t>
  </si>
  <si>
    <t>Utvecklingsgrupp</t>
  </si>
  <si>
    <t>Organisation</t>
  </si>
  <si>
    <t>Namn</t>
  </si>
  <si>
    <t>Kalkylmall</t>
  </si>
  <si>
    <t>suggor</t>
  </si>
  <si>
    <t>slaktgrisar</t>
  </si>
  <si>
    <t>tackor</t>
  </si>
  <si>
    <t>dikor</t>
  </si>
  <si>
    <t>slaktungnöt</t>
  </si>
  <si>
    <t>Välj djurslag…</t>
  </si>
  <si>
    <t/>
  </si>
  <si>
    <t>kr</t>
  </si>
  <si>
    <t>Smågrisar</t>
  </si>
  <si>
    <t>st</t>
  </si>
  <si>
    <t>Nationellt stöd</t>
  </si>
  <si>
    <t>Miljöstöd, djurens välbefinnande</t>
  </si>
  <si>
    <t>ton</t>
  </si>
  <si>
    <t>Rekrytering</t>
  </si>
  <si>
    <t>Suggfoderblandning</t>
  </si>
  <si>
    <t>kg</t>
  </si>
  <si>
    <t>Suggkoncentrat</t>
  </si>
  <si>
    <t>Smågrisfoder</t>
  </si>
  <si>
    <t>Strömedel</t>
  </si>
  <si>
    <t>El</t>
  </si>
  <si>
    <t>kWh</t>
  </si>
  <si>
    <t>Produktionsrådgivning</t>
  </si>
  <si>
    <t>Semin</t>
  </si>
  <si>
    <t>SUMMA SÄRKOSTNADER 1</t>
  </si>
  <si>
    <t>Ränta djurkapital</t>
  </si>
  <si>
    <t>SUMMA SÄRKOSTNADER 2</t>
  </si>
  <si>
    <t>Byggnader, avskr + ränta</t>
  </si>
  <si>
    <t>tim</t>
  </si>
  <si>
    <t>SUMMA SÄRKOSTNADER 3</t>
  </si>
  <si>
    <t>Antal smågrisar per sugga och år</t>
  </si>
  <si>
    <t>smågrisar</t>
  </si>
  <si>
    <t>Grundförutsättningar</t>
  </si>
  <si>
    <t>Arbete (inkl. eget arbete)</t>
  </si>
  <si>
    <t>%</t>
  </si>
  <si>
    <t>Pris per enhet</t>
  </si>
  <si>
    <t>Övriga kostnader</t>
  </si>
  <si>
    <t>Utslagssugga, kött</t>
  </si>
  <si>
    <t>Nyckeltal</t>
  </si>
  <si>
    <t>Försäkringar för stallbyggnad</t>
  </si>
  <si>
    <t>Försäkringar för djur</t>
  </si>
  <si>
    <t>Investeringsstöd enligt schablon, totalt</t>
  </si>
  <si>
    <t>Investeringsutgift per djurplats utan stöd</t>
  </si>
  <si>
    <t>Flytgödsel, svin, 8% ts</t>
  </si>
  <si>
    <t>---</t>
  </si>
  <si>
    <t>Summa kostnader</t>
  </si>
  <si>
    <t>Driftkalkyl - Smågrisar</t>
  </si>
  <si>
    <t>Ekonomisk livslängd</t>
  </si>
  <si>
    <t>år</t>
  </si>
  <si>
    <t>kr/år</t>
  </si>
  <si>
    <t>SUMMA med investeringsstöd (exkl. utrymme för visning)</t>
  </si>
  <si>
    <t>Investeringsutgift per djurplats med stöd</t>
  </si>
  <si>
    <t>Avkastningskrav på investering, nominell kalkylränta</t>
  </si>
  <si>
    <t>Inflation</t>
  </si>
  <si>
    <t>per år</t>
  </si>
  <si>
    <t>Real kalkylränta</t>
  </si>
  <si>
    <t>Byggledning &amp; ränta</t>
  </si>
  <si>
    <t>Delsumma byggledning &amp; ränta</t>
  </si>
  <si>
    <t>Ränta under byggtid</t>
  </si>
  <si>
    <t>Uppföljning av produktion, ekonomi &amp; drift</t>
  </si>
  <si>
    <t>Totalt för stallet</t>
  </si>
  <si>
    <t>Kronor per sugga</t>
  </si>
  <si>
    <t>Kronor per smågris</t>
  </si>
  <si>
    <t>Summa intäkter</t>
  </si>
  <si>
    <t>TB 1</t>
  </si>
  <si>
    <t>TB 2</t>
  </si>
  <si>
    <t>TB 3</t>
  </si>
  <si>
    <t>Täckningsbidrag per sugga</t>
  </si>
  <si>
    <t>Investeringskalkyl</t>
  </si>
  <si>
    <t>Värde</t>
  </si>
  <si>
    <t>Yta stall</t>
  </si>
  <si>
    <t>Yta serviceutrymmen &amp; övriga utrymmen (exklusive utrymmen för visning)</t>
  </si>
  <si>
    <t>Yta utrymmen för visning</t>
  </si>
  <si>
    <t>INVESTERINGSUTGIFT</t>
  </si>
  <si>
    <t>GRUNDDATA</t>
  </si>
  <si>
    <t>SÄRINTÄKTER</t>
  </si>
  <si>
    <t>SÄRKOSTNADER</t>
  </si>
  <si>
    <t>Fodersäd</t>
  </si>
  <si>
    <t>Driftsledning</t>
  </si>
  <si>
    <t>Kvant per sugga</t>
  </si>
  <si>
    <t xml:space="preserve">Pris per enhet </t>
  </si>
  <si>
    <t>Ersättning för smärtfri kastrering / vaccinering</t>
  </si>
  <si>
    <t>Veterinär &amp; medicin</t>
  </si>
  <si>
    <t>mjölkkor</t>
  </si>
  <si>
    <t>Ränta rörelsekapital</t>
  </si>
  <si>
    <t>Nettonuvärde vid 5 % avkastning</t>
  </si>
  <si>
    <t>Investeringsutgift (efter investeringsstöd enligt schablon)</t>
  </si>
  <si>
    <t>Driftnetto per år enligt driftkalkyl</t>
  </si>
  <si>
    <t>Driftnetto per år exklusive avskrivningar och ränta</t>
  </si>
  <si>
    <t>Resultat för stallet</t>
  </si>
  <si>
    <t>Vinstmarginal i stallkalkylen</t>
  </si>
  <si>
    <t>Byggnader, underhåll</t>
  </si>
  <si>
    <t>Löner</t>
  </si>
  <si>
    <t>&lt;- Välj djurslag i rullistan</t>
  </si>
  <si>
    <t>Spädgrisfoder</t>
  </si>
  <si>
    <t>Nuvärdet av driftsnetto (exklusive avskrivningar och ränta)</t>
  </si>
  <si>
    <t>SUMMA Investeringsutgift (exklusive utrymmen för visning)</t>
  </si>
  <si>
    <t>TOTAL INVESTERINGSUTGIFT (inklusive utrymmen för visning, utan stöd)</t>
  </si>
  <si>
    <t>Indata till rullista på fliken "Investeringskalkyl" - RADERA EJ</t>
  </si>
  <si>
    <t>Mattias Espert</t>
  </si>
  <si>
    <t>Christine Andersson</t>
  </si>
  <si>
    <t>LRF Konsult</t>
  </si>
  <si>
    <t>Smågris Syd AB</t>
  </si>
  <si>
    <t>Jonas Tuneståhl</t>
  </si>
  <si>
    <t>KLS Ugglarps</t>
  </si>
  <si>
    <t>Stall för smågrisproduktion</t>
  </si>
  <si>
    <t>Martin Rindom</t>
  </si>
  <si>
    <t>Gråkjaer</t>
  </si>
  <si>
    <t>Jörgen Lindadhl</t>
  </si>
  <si>
    <t>Distriktsveterinärerna, SJV</t>
  </si>
  <si>
    <t>Noter</t>
  </si>
  <si>
    <t>Priset baseras på år 2015 och 2016 då det genomsnittliga priset uppgick till 676 kr per såld pris.</t>
  </si>
  <si>
    <t>Särintäkter</t>
  </si>
  <si>
    <t>Utslagsdjuren för kött uppgår till 45 procet. Priset baseras på 2015 och 2016 års resultat, då genomsnittspriset per kg kött</t>
  </si>
  <si>
    <t>Enligt förordning (2007:481) om stöd till landsbygdsåtgärder, extra djuromsorg till suggor uppgår ersättningen till 1000 kr per sugga och år.</t>
  </si>
  <si>
    <t>ME har valt att ej söka miljöersättning för djurens välbefinnande</t>
  </si>
  <si>
    <t>Vilka ersättningsnivåer gäller?</t>
  </si>
  <si>
    <t>Bedövning och smärtlindring</t>
  </si>
  <si>
    <t>Bedövnings- och smärtlindringsmedel: Ersättning enligt kvitto.</t>
  </si>
  <si>
    <t>Sprutor och kanyler: 0,26 kronor per behandlad gris.</t>
  </si>
  <si>
    <t>Arbete: 4,45 kronor per gris och behandlingstillfälle.</t>
  </si>
  <si>
    <t>Vaccinering</t>
  </si>
  <si>
    <t>Vaccin: Ersättning enligt kvitto.</t>
  </si>
  <si>
    <t>Säkerhetssprutan: Ersättning enligt kvitto.</t>
  </si>
  <si>
    <t>Arbete: 2,90 kronor per gris och behandlingstillfälle.</t>
  </si>
  <si>
    <t>Kastrering och vaccinering</t>
  </si>
  <si>
    <t>Max 7500 euro per besättning</t>
  </si>
  <si>
    <t>Särkostnader</t>
  </si>
  <si>
    <t>ME har valt att ej söka kastrerings eller vaccineringsbidrag. Detta kan öka intäkterna med 7500 euro per år under en 3 års period.</t>
  </si>
  <si>
    <t xml:space="preserve">Suggfodret består utav </t>
  </si>
  <si>
    <t>KLF Alstra</t>
  </si>
  <si>
    <t>KLF Action</t>
  </si>
  <si>
    <t>KLF Aktiv</t>
  </si>
  <si>
    <t>Förbrukning (kg)</t>
  </si>
  <si>
    <t>Kr/kg</t>
  </si>
  <si>
    <t>Foderförbrukning per sugga</t>
  </si>
  <si>
    <t>Viktning pris suggfoder genomsnittligt (kr/kg)</t>
  </si>
  <si>
    <t>Viktning foderförbrukning suggfoder genomsnittligt (kg/sugga)</t>
  </si>
  <si>
    <t>År</t>
  </si>
  <si>
    <t>Foderkostnad SEK</t>
  </si>
  <si>
    <t>uppgick till 10,14 kr per kg. I genomsnitt väger utslagsuggorna 185 kg.</t>
  </si>
  <si>
    <t>Startfodret består utav</t>
  </si>
  <si>
    <t>Lantmännen zigge start</t>
  </si>
  <si>
    <t>Svenska foder vetzin syra express/turbo</t>
  </si>
  <si>
    <t>Dla agro Swedish grow</t>
  </si>
  <si>
    <t>Tillväxtfodret består utav</t>
  </si>
  <si>
    <t>Svenska foder syra express</t>
  </si>
  <si>
    <t>KLF Cavat</t>
  </si>
  <si>
    <t>Svenska foder syd tillväxt</t>
  </si>
  <si>
    <t>Lantmännen Kurant</t>
  </si>
  <si>
    <t>Förbrukning (kwh)</t>
  </si>
  <si>
    <t>Elkostnad SEK (efter återbetalning energiskatt)</t>
  </si>
  <si>
    <t>kr/kwh</t>
  </si>
  <si>
    <t>Förbrukning per sugga</t>
  </si>
  <si>
    <t>Viktning energikostnad kr/kwh</t>
  </si>
  <si>
    <t>Viktning förbrukning per sugga (kg/sugga)</t>
  </si>
  <si>
    <t>Inget foder är egenproducerat</t>
  </si>
  <si>
    <t>Inget extra koncentrat tillsätts, då det finns i färdigfodret.</t>
  </si>
  <si>
    <t>Uppföljning utav ekonomi/produktion</t>
  </si>
  <si>
    <t xml:space="preserve">Kostnaden är ett genomsnitt för 2015 och 2016 och uppgår till </t>
  </si>
  <si>
    <t>33 kr per sugga.</t>
  </si>
  <si>
    <t>Veterinär, vaccin och medicin</t>
  </si>
  <si>
    <t>Djurförsäkringar</t>
  </si>
  <si>
    <t>Stallförsäkring</t>
  </si>
  <si>
    <t>Agria djurförsäkring kostar 20 kr per sugga och år</t>
  </si>
  <si>
    <t>l</t>
  </si>
  <si>
    <t>Antal sålda smågrisar</t>
  </si>
  <si>
    <t>Intäkter smågrisar</t>
  </si>
  <si>
    <t>Pris per såld gris</t>
  </si>
  <si>
    <t>Viktning pris såld smågris</t>
  </si>
  <si>
    <t>kr/st</t>
  </si>
  <si>
    <t>Slaktade kg</t>
  </si>
  <si>
    <t>Intäkter slaktgrisar</t>
  </si>
  <si>
    <t>Pris per kg</t>
  </si>
  <si>
    <t>Viktning pris slakt</t>
  </si>
  <si>
    <t>kr/kg</t>
  </si>
  <si>
    <t>I besättningen utgör 5 procent utslagssuggor för kassation</t>
  </si>
  <si>
    <t>Kostnad för kadaverhämtning</t>
  </si>
  <si>
    <t>Antal suggor</t>
  </si>
  <si>
    <t>Kr/sugga</t>
  </si>
  <si>
    <t>Viktning kr/sugga</t>
  </si>
  <si>
    <t>Kostnad uppföljning ekonomi/produktion</t>
  </si>
  <si>
    <t>Viktning kostnad</t>
  </si>
  <si>
    <t>kr per sugga</t>
  </si>
  <si>
    <t>Produktionsrådgivning. Kostnaden är ett genomsnitt för 2015 och 2016 och uppgår till 32 kr per sugga.</t>
  </si>
  <si>
    <t>Kostnad produktionsrådgivning</t>
  </si>
  <si>
    <t>Kostnad semin</t>
  </si>
  <si>
    <t>Inköp material grisproduktion</t>
  </si>
  <si>
    <t>Driftsledningen bedöms uppgå till 500 timmar per år, vilket motsvarar 0,625 h per sugga.</t>
  </si>
  <si>
    <t xml:space="preserve">I genomsnitt har varje sugga 2,3 kullar per år och 14,5 stycken avvanda smågrisar per kull. </t>
  </si>
  <si>
    <t>Besättningen har 48 procent rekrytering. Priset är baserat på svenska köttföretagen medelpris för betäckningsfärdig gylta för år 2016.</t>
  </si>
  <si>
    <t>Utifrån jämförelser med andra smågrisproducenter går kostnaden att minska till denna nivå.</t>
  </si>
  <si>
    <t>Enligt SLU JBT Rapport 145, är normal förbrukning 600-700 kwh per suggplats.</t>
  </si>
  <si>
    <t>Kostnaden baseras på ett medeltal utav 7 andra smågrisproducenter 2015-2016.</t>
  </si>
  <si>
    <t>Dinaförsäkringar kostar 80 kr per sugga och år</t>
  </si>
  <si>
    <t>vet o medi</t>
  </si>
  <si>
    <t>el</t>
  </si>
  <si>
    <t>strö</t>
  </si>
  <si>
    <t>försäkring</t>
  </si>
  <si>
    <t>övrigt</t>
  </si>
  <si>
    <t>kontroll o semin</t>
  </si>
  <si>
    <t>eldningsolja</t>
  </si>
  <si>
    <t>w</t>
  </si>
  <si>
    <t>m</t>
  </si>
  <si>
    <t>n</t>
  </si>
  <si>
    <t>k</t>
  </si>
  <si>
    <t>Enligt agriwises databok tabell 10.1 producerar en sugga 5,2 kbm flytgödsel varje år. Nettot är 10 kr per kbm när kostnaden för gödselspridning dragits av.</t>
  </si>
  <si>
    <t xml:space="preserve">På en längre tidshorisont kommer troligtvis priset på svenskt griskött, därav räknar vi med 8,09 kr per kg. </t>
  </si>
  <si>
    <t>Förbrukningen uppgår till 450 kg per sugga och avser halm till en kostnad á 0,57 kr per kg</t>
  </si>
  <si>
    <t>I det nya stallet bedöms elförbrukningen kunna till 600 kwh per sugga och år</t>
  </si>
  <si>
    <t xml:space="preserve">Kostnaden bedöms kunna minska till 330 kr per sugga. </t>
  </si>
  <si>
    <t>Vid jämförelse med 7 andra smågrisproducenter kan denna kostnaden minska till 400 kr per suggplats.</t>
  </si>
  <si>
    <t>Artbetsförbrukningen i framtidens stall uppskattas till 8,9 timmar per sugga.</t>
  </si>
  <si>
    <t>Övriga kostnader avser inköp av material och förbrukningsmaterial till grisproduktionen.</t>
  </si>
  <si>
    <t>På en längre tidshorisont kommer troligtvis priset på svenskt griskött, därav räknar vi med 631 kr per gris.</t>
  </si>
  <si>
    <t>Mjölkersättning</t>
  </si>
  <si>
    <t>kr/sugga</t>
  </si>
  <si>
    <t>Kostnad veterinär, medicin, vaccin</t>
  </si>
  <si>
    <t>Kostnad inkl produktivitetsökning per sugga</t>
  </si>
  <si>
    <t>Viktning kr per sugga</t>
  </si>
  <si>
    <t>Underhållskostnaden bedöms uppgå till 0,7 procent utav investeringsutgiften per suggplats.</t>
  </si>
  <si>
    <t>Inventarier och foderanläggning</t>
  </si>
  <si>
    <t>Foderanläggning leverantör rabatt</t>
  </si>
  <si>
    <t>Kadaverhämntning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</si>
</sst>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0\ &quot;kr&quot;;[Red]\-#,##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kr&quot;"/>
    <numFmt numFmtId="165" formatCode="#,##0.0000"/>
    <numFmt numFmtId="166" formatCode="yy/mm/dd"/>
    <numFmt numFmtId="167" formatCode="#,##0.0"/>
    <numFmt numFmtId="168" formatCode="0.0%"/>
    <numFmt numFmtId="169" formatCode="#,##0\ _k_r"/>
    <numFmt numFmtId="170" formatCode="#,##0.00\ _k_r"/>
    <numFmt numFmtId="171" formatCode="#,##0_k_r"/>
    <numFmt numFmtId="172" formatCode="#,##0_ ;[Red]\-#,##0\ "/>
    <numFmt numFmtId="173" formatCode="#,##0.000"/>
    <numFmt numFmtId="174" formatCode="0.0"/>
  </numFmts>
  <fonts count="25" x14ac:knownFonts="1">
    <font>
      <sz val="11"/>
      <color theme="1"/>
      <name val="Calibri"/>
      <family val="2"/>
      <scheme val="minor"/>
    </font>
    <font>
      <sz val="11"/>
      <color theme="1"/>
      <name val="Calibri"/>
      <family val="2"/>
      <scheme val="minor"/>
    </font>
    <font>
      <sz val="11"/>
      <color rgb="FFFF0000"/>
      <name val="Calibri"/>
      <family val="2"/>
      <scheme val="minor"/>
    </font>
    <font>
      <sz val="22"/>
      <color theme="1"/>
      <name val="Cambria"/>
      <family val="1"/>
    </font>
    <font>
      <sz val="11"/>
      <color theme="1"/>
      <name val="Cambria"/>
      <family val="1"/>
    </font>
    <font>
      <sz val="11"/>
      <name val="Cambria"/>
      <family val="1"/>
    </font>
    <font>
      <sz val="11"/>
      <color rgb="FFFF0000"/>
      <name val="Cambria"/>
      <family val="1"/>
    </font>
    <font>
      <b/>
      <i/>
      <sz val="11"/>
      <color theme="1"/>
      <name val="Cambria"/>
      <family val="1"/>
    </font>
    <font>
      <i/>
      <sz val="11"/>
      <color theme="1"/>
      <name val="Cambria"/>
      <family val="1"/>
    </font>
    <font>
      <b/>
      <sz val="12"/>
      <color theme="1"/>
      <name val="Cambria"/>
      <family val="1"/>
    </font>
    <font>
      <b/>
      <i/>
      <sz val="12"/>
      <color theme="1"/>
      <name val="Cambria"/>
      <family val="1"/>
    </font>
    <font>
      <b/>
      <sz val="11"/>
      <color theme="1"/>
      <name val="Cambria"/>
      <family val="1"/>
    </font>
    <font>
      <b/>
      <sz val="11"/>
      <name val="Cambria"/>
      <family val="1"/>
    </font>
    <font>
      <b/>
      <i/>
      <sz val="11"/>
      <name val="Cambria"/>
      <family val="1"/>
    </font>
    <font>
      <i/>
      <sz val="11"/>
      <name val="Cambria"/>
      <family val="1"/>
    </font>
    <font>
      <sz val="9"/>
      <color indexed="81"/>
      <name val="Tahoma"/>
      <family val="2"/>
    </font>
    <font>
      <sz val="10"/>
      <name val="Verdana"/>
      <family val="2"/>
    </font>
    <font>
      <sz val="14"/>
      <name val="Cambria"/>
      <family val="1"/>
    </font>
    <font>
      <b/>
      <sz val="14"/>
      <color rgb="FFFF0000"/>
      <name val="Calibri"/>
      <family val="2"/>
      <scheme val="minor"/>
    </font>
    <font>
      <sz val="11"/>
      <color theme="1"/>
      <name val="Franklin Gothic Book"/>
      <family val="2"/>
    </font>
    <font>
      <sz val="7.7"/>
      <color rgb="FF404040"/>
      <name val="Verdana"/>
      <family val="2"/>
    </font>
    <font>
      <b/>
      <sz val="13.3"/>
      <color rgb="FF404040"/>
      <name val="Verdana"/>
      <family val="2"/>
    </font>
    <font>
      <b/>
      <sz val="11.2"/>
      <color rgb="FF000000"/>
      <name val="Verdana"/>
      <family val="2"/>
    </font>
    <font>
      <b/>
      <sz val="11"/>
      <color theme="1"/>
      <name val="Franklin Gothic Book"/>
      <family val="2"/>
    </font>
    <font>
      <sz val="10"/>
      <name val="Arial"/>
      <family val="2"/>
    </font>
  </fonts>
  <fills count="7">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rgb="FF92D050"/>
        <bgColor indexed="64"/>
      </patternFill>
    </fill>
    <fill>
      <patternFill patternType="solid">
        <fgColor theme="2"/>
        <bgColor indexed="64"/>
      </patternFill>
    </fill>
    <fill>
      <patternFill patternType="solid">
        <fgColor theme="0"/>
        <bgColor indexed="64"/>
      </patternFill>
    </fill>
  </fills>
  <borders count="25">
    <border>
      <left/>
      <right/>
      <top/>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thin">
        <color indexed="64"/>
      </left>
      <right style="thin">
        <color indexed="64"/>
      </right>
      <top style="thin">
        <color indexed="64"/>
      </top>
      <bottom style="thin">
        <color indexed="64"/>
      </bottom>
      <diagonal/>
    </border>
  </borders>
  <cellStyleXfs count="9">
    <xf numFmtId="0" fontId="0" fillId="0" borderId="0"/>
    <xf numFmtId="9" fontId="1" fillId="0" borderId="0" applyFont="0" applyFill="0" applyBorder="0" applyAlignment="0" applyProtection="0"/>
    <xf numFmtId="0" fontId="16" fillId="0" borderId="0"/>
    <xf numFmtId="0" fontId="24" fillId="0" borderId="0"/>
    <xf numFmtId="9"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cellStyleXfs>
  <cellXfs count="238">
    <xf numFmtId="0" fontId="0" fillId="0" borderId="0" xfId="0"/>
    <xf numFmtId="0" fontId="2" fillId="0" borderId="0" xfId="0" applyFont="1"/>
    <xf numFmtId="0" fontId="3" fillId="0" borderId="0" xfId="0" applyFont="1"/>
    <xf numFmtId="0" fontId="4" fillId="0" borderId="0" xfId="0" applyFont="1"/>
    <xf numFmtId="0" fontId="6" fillId="0" borderId="0" xfId="0" applyFont="1"/>
    <xf numFmtId="0" fontId="7" fillId="4" borderId="2" xfId="0" applyFont="1" applyFill="1" applyBorder="1"/>
    <xf numFmtId="0" fontId="7" fillId="4" borderId="3" xfId="0" applyFont="1" applyFill="1" applyBorder="1"/>
    <xf numFmtId="0" fontId="4" fillId="4" borderId="3" xfId="0" applyFont="1" applyFill="1" applyBorder="1"/>
    <xf numFmtId="0" fontId="4" fillId="4" borderId="4" xfId="0" applyFont="1" applyFill="1" applyBorder="1"/>
    <xf numFmtId="0" fontId="4" fillId="0" borderId="0" xfId="0" applyFont="1" applyBorder="1"/>
    <xf numFmtId="0" fontId="4" fillId="0" borderId="5" xfId="0" applyFont="1" applyBorder="1" applyAlignment="1">
      <alignment wrapText="1"/>
    </xf>
    <xf numFmtId="0" fontId="4" fillId="0" borderId="0" xfId="0" applyFont="1" applyBorder="1" applyAlignment="1">
      <alignment wrapText="1"/>
    </xf>
    <xf numFmtId="0" fontId="4" fillId="0" borderId="6" xfId="0" applyFont="1" applyBorder="1"/>
    <xf numFmtId="0" fontId="8" fillId="0" borderId="0" xfId="0" applyFont="1" applyBorder="1"/>
    <xf numFmtId="0" fontId="4" fillId="0" borderId="5" xfId="0" applyFont="1" applyBorder="1"/>
    <xf numFmtId="0" fontId="4" fillId="0" borderId="7" xfId="0" applyFont="1" applyBorder="1" applyAlignment="1">
      <alignment wrapText="1"/>
    </xf>
    <xf numFmtId="0" fontId="4" fillId="0" borderId="8" xfId="0" applyFont="1" applyBorder="1"/>
    <xf numFmtId="0" fontId="9" fillId="0" borderId="0" xfId="0" applyFont="1"/>
    <xf numFmtId="0" fontId="7" fillId="0" borderId="5" xfId="0" applyFont="1" applyBorder="1"/>
    <xf numFmtId="0" fontId="8" fillId="0" borderId="0" xfId="0" applyFont="1" applyBorder="1" applyAlignment="1">
      <alignment horizontal="center"/>
    </xf>
    <xf numFmtId="0" fontId="8" fillId="0" borderId="18" xfId="0" applyFont="1" applyBorder="1"/>
    <xf numFmtId="0" fontId="8" fillId="0" borderId="19" xfId="0" applyFont="1" applyBorder="1" applyAlignment="1">
      <alignment horizontal="center"/>
    </xf>
    <xf numFmtId="0" fontId="8" fillId="0" borderId="19" xfId="0" applyFont="1" applyBorder="1"/>
    <xf numFmtId="164" fontId="8" fillId="0" borderId="19" xfId="0" applyNumberFormat="1" applyFont="1" applyBorder="1"/>
    <xf numFmtId="0" fontId="7" fillId="0" borderId="12" xfId="0" applyFont="1" applyBorder="1"/>
    <xf numFmtId="0" fontId="8" fillId="0" borderId="13" xfId="0" applyFont="1" applyBorder="1" applyAlignment="1">
      <alignment horizontal="center"/>
    </xf>
    <xf numFmtId="0" fontId="11" fillId="0" borderId="12" xfId="0" applyFont="1" applyBorder="1"/>
    <xf numFmtId="0" fontId="11" fillId="0" borderId="13" xfId="0" applyFont="1" applyBorder="1"/>
    <xf numFmtId="164" fontId="11" fillId="0" borderId="13" xfId="0" applyNumberFormat="1" applyFont="1" applyBorder="1"/>
    <xf numFmtId="0" fontId="11" fillId="0" borderId="5" xfId="0" applyFont="1" applyBorder="1"/>
    <xf numFmtId="0" fontId="11" fillId="0" borderId="0" xfId="0" applyFont="1" applyBorder="1"/>
    <xf numFmtId="164" fontId="11" fillId="0" borderId="0" xfId="0" applyNumberFormat="1" applyFont="1" applyBorder="1"/>
    <xf numFmtId="0" fontId="4" fillId="5" borderId="12" xfId="0" applyFont="1" applyFill="1" applyBorder="1"/>
    <xf numFmtId="0" fontId="4" fillId="0" borderId="15" xfId="0" applyFont="1" applyBorder="1"/>
    <xf numFmtId="0" fontId="8" fillId="0" borderId="16" xfId="0" applyFont="1" applyBorder="1" applyAlignment="1">
      <alignment horizontal="center"/>
    </xf>
    <xf numFmtId="0" fontId="4" fillId="0" borderId="16" xfId="0" applyFont="1" applyBorder="1"/>
    <xf numFmtId="0" fontId="11" fillId="0" borderId="7" xfId="0" applyFont="1" applyBorder="1"/>
    <xf numFmtId="0" fontId="8" fillId="0" borderId="1" xfId="0" applyFont="1" applyBorder="1" applyAlignment="1">
      <alignment horizontal="center"/>
    </xf>
    <xf numFmtId="0" fontId="11" fillId="0" borderId="1" xfId="0" applyFont="1" applyBorder="1"/>
    <xf numFmtId="164" fontId="11" fillId="0" borderId="1" xfId="0" applyNumberFormat="1" applyFont="1" applyBorder="1"/>
    <xf numFmtId="0" fontId="4" fillId="0" borderId="1" xfId="0" applyFont="1" applyBorder="1"/>
    <xf numFmtId="170" fontId="5" fillId="0" borderId="0" xfId="0" applyNumberFormat="1" applyFont="1" applyFill="1" applyBorder="1" applyProtection="1">
      <protection locked="0"/>
    </xf>
    <xf numFmtId="6" fontId="13" fillId="3" borderId="19" xfId="0" applyNumberFormat="1" applyFont="1" applyFill="1" applyBorder="1" applyProtection="1"/>
    <xf numFmtId="0" fontId="16" fillId="0" borderId="0" xfId="2" applyAlignment="1">
      <alignment wrapText="1"/>
    </xf>
    <xf numFmtId="0" fontId="16" fillId="0" borderId="0" xfId="2"/>
    <xf numFmtId="0" fontId="16" fillId="0" borderId="0" xfId="2" applyFont="1" applyFill="1" applyBorder="1"/>
    <xf numFmtId="0" fontId="11" fillId="0" borderId="18" xfId="0" applyFont="1" applyBorder="1"/>
    <xf numFmtId="0" fontId="11" fillId="0" borderId="19" xfId="0" applyFont="1" applyBorder="1"/>
    <xf numFmtId="164" fontId="11" fillId="0" borderId="19" xfId="0" applyNumberFormat="1" applyFont="1" applyBorder="1"/>
    <xf numFmtId="0" fontId="5" fillId="0" borderId="5" xfId="2" applyFont="1" applyFill="1" applyBorder="1" applyAlignment="1">
      <alignment wrapText="1"/>
    </xf>
    <xf numFmtId="0" fontId="5" fillId="0" borderId="6" xfId="2" applyFont="1" applyFill="1" applyBorder="1"/>
    <xf numFmtId="171" fontId="5" fillId="0" borderId="0" xfId="2" applyNumberFormat="1" applyFont="1" applyFill="1" applyBorder="1" applyProtection="1">
      <protection locked="0"/>
    </xf>
    <xf numFmtId="0" fontId="5" fillId="0" borderId="0" xfId="2" applyFont="1" applyFill="1" applyBorder="1"/>
    <xf numFmtId="0" fontId="5" fillId="0" borderId="0" xfId="2" applyFont="1" applyFill="1" applyBorder="1" applyAlignment="1" applyProtection="1">
      <alignment horizontal="right"/>
      <protection locked="0"/>
    </xf>
    <xf numFmtId="0" fontId="5" fillId="0" borderId="0" xfId="2" applyFont="1" applyFill="1" applyBorder="1" applyAlignment="1">
      <alignment wrapText="1"/>
    </xf>
    <xf numFmtId="0" fontId="8" fillId="0" borderId="20" xfId="0" applyFont="1" applyBorder="1"/>
    <xf numFmtId="0" fontId="13" fillId="0" borderId="15" xfId="2" applyFont="1" applyFill="1" applyBorder="1" applyAlignment="1">
      <alignment wrapText="1"/>
    </xf>
    <xf numFmtId="0" fontId="13" fillId="0" borderId="17" xfId="2" applyFont="1" applyFill="1" applyBorder="1"/>
    <xf numFmtId="0" fontId="9" fillId="4" borderId="5" xfId="0" applyFont="1" applyFill="1" applyBorder="1"/>
    <xf numFmtId="0" fontId="10" fillId="4" borderId="0" xfId="0" applyFont="1" applyFill="1" applyBorder="1" applyAlignment="1">
      <alignment horizontal="center"/>
    </xf>
    <xf numFmtId="0" fontId="9" fillId="4" borderId="0" xfId="0" applyFont="1" applyFill="1" applyBorder="1"/>
    <xf numFmtId="0" fontId="9" fillId="4" borderId="6" xfId="0" applyFont="1" applyFill="1" applyBorder="1"/>
    <xf numFmtId="0" fontId="9" fillId="4" borderId="23" xfId="0" applyFont="1" applyFill="1" applyBorder="1"/>
    <xf numFmtId="0" fontId="4" fillId="4" borderId="21" xfId="0" applyFont="1" applyFill="1" applyBorder="1"/>
    <xf numFmtId="0" fontId="4" fillId="4" borderId="22" xfId="0" applyFont="1" applyFill="1" applyBorder="1"/>
    <xf numFmtId="0" fontId="12" fillId="4" borderId="23" xfId="2" applyFont="1" applyFill="1" applyBorder="1" applyAlignment="1">
      <alignment wrapText="1"/>
    </xf>
    <xf numFmtId="0" fontId="12" fillId="4" borderId="21" xfId="2" applyFont="1" applyFill="1" applyBorder="1" applyAlignment="1">
      <alignment horizontal="left" wrapText="1"/>
    </xf>
    <xf numFmtId="0" fontId="12" fillId="4" borderId="22" xfId="2" applyFont="1" applyFill="1" applyBorder="1" applyAlignment="1">
      <alignment wrapText="1"/>
    </xf>
    <xf numFmtId="0" fontId="7" fillId="4" borderId="7" xfId="0" applyFont="1" applyFill="1" applyBorder="1"/>
    <xf numFmtId="0" fontId="7" fillId="4" borderId="1" xfId="0" applyFont="1" applyFill="1" applyBorder="1"/>
    <xf numFmtId="0" fontId="4" fillId="4" borderId="8" xfId="0" applyFont="1" applyFill="1" applyBorder="1"/>
    <xf numFmtId="164" fontId="4" fillId="0" borderId="6" xfId="0" applyNumberFormat="1" applyFont="1" applyFill="1" applyBorder="1"/>
    <xf numFmtId="164" fontId="4" fillId="0" borderId="14" xfId="0" applyNumberFormat="1" applyFont="1" applyFill="1" applyBorder="1"/>
    <xf numFmtId="6" fontId="5" fillId="3" borderId="6" xfId="0" applyNumberFormat="1" applyFont="1" applyFill="1" applyBorder="1" applyProtection="1"/>
    <xf numFmtId="6" fontId="5" fillId="3" borderId="11" xfId="0" applyNumberFormat="1" applyFont="1" applyFill="1" applyBorder="1" applyProtection="1"/>
    <xf numFmtId="171" fontId="5" fillId="0" borderId="0" xfId="2" applyNumberFormat="1" applyFont="1" applyFill="1" applyBorder="1" applyAlignment="1">
      <alignment wrapText="1"/>
    </xf>
    <xf numFmtId="38" fontId="4" fillId="0" borderId="0" xfId="0" applyNumberFormat="1" applyFont="1"/>
    <xf numFmtId="6" fontId="4" fillId="0" borderId="0" xfId="0" applyNumberFormat="1" applyFont="1"/>
    <xf numFmtId="0" fontId="17" fillId="0" borderId="0" xfId="0" applyFont="1"/>
    <xf numFmtId="168" fontId="5" fillId="3" borderId="0" xfId="2" applyNumberFormat="1" applyFont="1" applyFill="1" applyBorder="1" applyAlignment="1" applyProtection="1">
      <alignment horizontal="right"/>
    </xf>
    <xf numFmtId="164" fontId="4" fillId="3" borderId="6" xfId="0" applyNumberFormat="1" applyFont="1" applyFill="1" applyBorder="1" applyProtection="1"/>
    <xf numFmtId="164" fontId="8" fillId="3" borderId="20" xfId="0" applyNumberFormat="1" applyFont="1" applyFill="1" applyBorder="1" applyProtection="1"/>
    <xf numFmtId="164" fontId="11" fillId="3" borderId="14" xfId="0" applyNumberFormat="1" applyFont="1" applyFill="1" applyBorder="1" applyProtection="1"/>
    <xf numFmtId="164" fontId="11" fillId="3" borderId="8" xfId="0" applyNumberFormat="1" applyFont="1" applyFill="1" applyBorder="1" applyProtection="1"/>
    <xf numFmtId="164" fontId="11" fillId="3" borderId="20" xfId="0" applyNumberFormat="1" applyFont="1" applyFill="1" applyBorder="1" applyProtection="1"/>
    <xf numFmtId="164" fontId="11" fillId="3" borderId="6" xfId="0" applyNumberFormat="1" applyFont="1" applyFill="1" applyBorder="1" applyProtection="1"/>
    <xf numFmtId="164" fontId="4" fillId="3" borderId="17" xfId="0" applyNumberFormat="1" applyFont="1" applyFill="1" applyBorder="1" applyProtection="1"/>
    <xf numFmtId="9" fontId="4" fillId="2" borderId="0" xfId="0" applyNumberFormat="1" applyFont="1" applyFill="1" applyBorder="1" applyProtection="1"/>
    <xf numFmtId="172" fontId="13" fillId="3" borderId="1" xfId="2" applyNumberFormat="1" applyFont="1" applyFill="1" applyBorder="1" applyAlignment="1" applyProtection="1">
      <alignment horizontal="right"/>
    </xf>
    <xf numFmtId="172" fontId="13" fillId="3" borderId="10" xfId="2" applyNumberFormat="1" applyFont="1" applyFill="1" applyBorder="1" applyAlignment="1" applyProtection="1">
      <alignment horizontal="right"/>
    </xf>
    <xf numFmtId="3" fontId="8" fillId="3" borderId="16" xfId="0" applyNumberFormat="1" applyFont="1" applyFill="1" applyBorder="1" applyProtection="1"/>
    <xf numFmtId="0" fontId="4" fillId="0" borderId="5" xfId="0" applyFont="1" applyBorder="1" applyAlignment="1" applyProtection="1">
      <alignment wrapText="1"/>
      <protection locked="0"/>
    </xf>
    <xf numFmtId="0" fontId="4" fillId="0" borderId="0" xfId="0" applyFont="1" applyBorder="1" applyAlignment="1" applyProtection="1">
      <alignment wrapText="1"/>
      <protection locked="0"/>
    </xf>
    <xf numFmtId="0" fontId="4" fillId="0" borderId="0" xfId="0" applyFont="1" applyFill="1" applyBorder="1" applyProtection="1">
      <protection locked="0"/>
    </xf>
    <xf numFmtId="0" fontId="4" fillId="0" borderId="6" xfId="0" applyFont="1" applyBorder="1" applyProtection="1">
      <protection locked="0"/>
    </xf>
    <xf numFmtId="0" fontId="4" fillId="0" borderId="9" xfId="0" applyFont="1" applyBorder="1" applyProtection="1">
      <protection locked="0"/>
    </xf>
    <xf numFmtId="0" fontId="4" fillId="0" borderId="10" xfId="0" applyFont="1" applyBorder="1" applyProtection="1">
      <protection locked="0"/>
    </xf>
    <xf numFmtId="0" fontId="4" fillId="0" borderId="11" xfId="0" applyFont="1" applyBorder="1" applyProtection="1">
      <protection locked="0"/>
    </xf>
    <xf numFmtId="0" fontId="4" fillId="0" borderId="0" xfId="0" applyFont="1" applyBorder="1" applyAlignment="1" applyProtection="1">
      <alignment horizontal="right" wrapText="1"/>
      <protection locked="0"/>
    </xf>
    <xf numFmtId="0" fontId="4" fillId="0" borderId="0" xfId="0" applyFont="1" applyFill="1" applyBorder="1" applyAlignment="1" applyProtection="1">
      <alignment horizontal="right"/>
      <protection locked="0"/>
    </xf>
    <xf numFmtId="0" fontId="4" fillId="0" borderId="1" xfId="0" applyFont="1" applyFill="1" applyBorder="1" applyAlignment="1" applyProtection="1">
      <alignment horizontal="right"/>
      <protection locked="0"/>
    </xf>
    <xf numFmtId="0" fontId="8" fillId="0" borderId="0" xfId="0" applyFont="1" applyBorder="1" applyAlignment="1" applyProtection="1">
      <alignment horizontal="center"/>
      <protection locked="0"/>
    </xf>
    <xf numFmtId="0" fontId="4" fillId="0" borderId="0" xfId="0" applyFont="1" applyBorder="1" applyProtection="1">
      <protection locked="0"/>
    </xf>
    <xf numFmtId="164" fontId="4" fillId="0" borderId="0" xfId="0" applyNumberFormat="1" applyFont="1" applyBorder="1" applyProtection="1">
      <protection locked="0"/>
    </xf>
    <xf numFmtId="0" fontId="8" fillId="0" borderId="19" xfId="0" applyFont="1" applyBorder="1" applyAlignment="1" applyProtection="1">
      <alignment horizontal="center"/>
      <protection locked="0"/>
    </xf>
    <xf numFmtId="0" fontId="8" fillId="0" borderId="19" xfId="0" applyFont="1" applyBorder="1" applyProtection="1">
      <protection locked="0"/>
    </xf>
    <xf numFmtId="164" fontId="8" fillId="0" borderId="19" xfId="0" applyNumberFormat="1" applyFont="1" applyBorder="1" applyProtection="1">
      <protection locked="0"/>
    </xf>
    <xf numFmtId="0" fontId="8" fillId="0" borderId="13" xfId="0" applyFont="1" applyBorder="1" applyAlignment="1" applyProtection="1">
      <alignment horizontal="center"/>
      <protection locked="0"/>
    </xf>
    <xf numFmtId="0" fontId="4" fillId="0" borderId="13" xfId="0" applyFont="1" applyBorder="1" applyProtection="1">
      <protection locked="0"/>
    </xf>
    <xf numFmtId="164" fontId="4" fillId="0" borderId="13" xfId="0" applyNumberFormat="1" applyFont="1" applyBorder="1" applyProtection="1">
      <protection locked="0"/>
    </xf>
    <xf numFmtId="0" fontId="14" fillId="0" borderId="0" xfId="0" applyFont="1" applyBorder="1" applyAlignment="1" applyProtection="1">
      <alignment horizontal="center"/>
    </xf>
    <xf numFmtId="0" fontId="5" fillId="0" borderId="0" xfId="0" applyFont="1" applyBorder="1" applyAlignment="1" applyProtection="1">
      <alignment horizontal="right"/>
    </xf>
    <xf numFmtId="0" fontId="5" fillId="0" borderId="0" xfId="0" applyFont="1" applyFill="1" applyBorder="1" applyAlignment="1" applyProtection="1">
      <alignment horizontal="right"/>
    </xf>
    <xf numFmtId="0" fontId="5" fillId="0" borderId="0" xfId="0" applyFont="1" applyBorder="1" applyAlignment="1" applyProtection="1">
      <alignment wrapText="1"/>
    </xf>
    <xf numFmtId="3" fontId="5" fillId="0" borderId="0" xfId="0" applyNumberFormat="1" applyFont="1" applyFill="1" applyBorder="1" applyProtection="1"/>
    <xf numFmtId="0" fontId="5" fillId="0" borderId="9" xfId="0" applyFont="1" applyBorder="1" applyAlignment="1" applyProtection="1">
      <alignment horizontal="left" wrapText="1"/>
    </xf>
    <xf numFmtId="0" fontId="4" fillId="0" borderId="5" xfId="0" applyFont="1" applyBorder="1" applyAlignment="1" applyProtection="1">
      <alignment wrapText="1"/>
    </xf>
    <xf numFmtId="0" fontId="4" fillId="0" borderId="9" xfId="0" applyFont="1" applyBorder="1" applyAlignment="1" applyProtection="1">
      <alignment wrapText="1"/>
    </xf>
    <xf numFmtId="6" fontId="4" fillId="3" borderId="11" xfId="0" applyNumberFormat="1" applyFont="1" applyFill="1" applyBorder="1" applyProtection="1"/>
    <xf numFmtId="0" fontId="5" fillId="0" borderId="5" xfId="0" applyFont="1" applyBorder="1" applyAlignment="1" applyProtection="1">
      <alignment horizontal="left" wrapText="1"/>
    </xf>
    <xf numFmtId="169" fontId="5" fillId="3" borderId="0" xfId="0" applyNumberFormat="1" applyFont="1" applyFill="1" applyBorder="1" applyProtection="1"/>
    <xf numFmtId="164" fontId="13" fillId="3" borderId="19" xfId="0" applyNumberFormat="1" applyFont="1" applyFill="1" applyBorder="1" applyProtection="1"/>
    <xf numFmtId="38" fontId="5" fillId="0" borderId="0" xfId="0" applyNumberFormat="1" applyFont="1" applyFill="1" applyBorder="1" applyProtection="1"/>
    <xf numFmtId="168" fontId="5" fillId="2" borderId="0" xfId="1" applyNumberFormat="1" applyFont="1" applyFill="1" applyBorder="1" applyProtection="1"/>
    <xf numFmtId="3" fontId="5" fillId="3" borderId="0" xfId="0" applyNumberFormat="1" applyFont="1" applyFill="1" applyBorder="1" applyProtection="1"/>
    <xf numFmtId="170" fontId="5" fillId="3" borderId="0" xfId="0" applyNumberFormat="1" applyFont="1" applyFill="1" applyBorder="1" applyProtection="1"/>
    <xf numFmtId="0" fontId="12" fillId="4" borderId="2" xfId="0" applyFont="1" applyFill="1" applyBorder="1" applyAlignment="1" applyProtection="1">
      <alignment horizontal="left" wrapText="1"/>
    </xf>
    <xf numFmtId="164" fontId="12" fillId="4" borderId="4" xfId="0" applyNumberFormat="1" applyFont="1" applyFill="1" applyBorder="1" applyAlignment="1" applyProtection="1">
      <alignment horizontal="left"/>
    </xf>
    <xf numFmtId="3" fontId="4" fillId="0" borderId="0" xfId="0" applyNumberFormat="1" applyFont="1" applyBorder="1" applyProtection="1"/>
    <xf numFmtId="3" fontId="5" fillId="0" borderId="0" xfId="0" applyNumberFormat="1" applyFont="1" applyBorder="1" applyAlignment="1" applyProtection="1">
      <alignment horizontal="right"/>
    </xf>
    <xf numFmtId="0" fontId="5" fillId="0" borderId="0" xfId="0" applyFont="1" applyBorder="1" applyProtection="1"/>
    <xf numFmtId="0" fontId="4" fillId="0" borderId="0" xfId="0" applyFont="1" applyProtection="1"/>
    <xf numFmtId="3" fontId="5" fillId="0" borderId="0" xfId="0" applyNumberFormat="1" applyFont="1" applyBorder="1" applyProtection="1"/>
    <xf numFmtId="0" fontId="5" fillId="0" borderId="0" xfId="0" applyFont="1" applyProtection="1"/>
    <xf numFmtId="165" fontId="5" fillId="0" borderId="0" xfId="0" applyNumberFormat="1" applyFont="1" applyFill="1" applyBorder="1" applyProtection="1"/>
    <xf numFmtId="165" fontId="5" fillId="0" borderId="0" xfId="0" applyNumberFormat="1" applyFont="1" applyBorder="1" applyProtection="1"/>
    <xf numFmtId="0" fontId="5" fillId="0" borderId="1" xfId="0" applyFont="1" applyBorder="1" applyAlignment="1" applyProtection="1">
      <alignment wrapText="1"/>
    </xf>
    <xf numFmtId="0" fontId="5" fillId="0" borderId="1" xfId="0" applyFont="1" applyBorder="1" applyAlignment="1" applyProtection="1">
      <alignment horizontal="right"/>
    </xf>
    <xf numFmtId="3" fontId="5" fillId="0" borderId="1" xfId="0" applyNumberFormat="1" applyFont="1" applyBorder="1" applyAlignment="1" applyProtection="1">
      <alignment horizontal="center"/>
    </xf>
    <xf numFmtId="0" fontId="3" fillId="0" borderId="0" xfId="0" applyFont="1" applyProtection="1"/>
    <xf numFmtId="0" fontId="11" fillId="4" borderId="2" xfId="0" applyFont="1" applyFill="1" applyBorder="1" applyAlignment="1" applyProtection="1">
      <alignment wrapText="1"/>
    </xf>
    <xf numFmtId="0" fontId="4" fillId="4" borderId="3" xfId="0" applyFont="1" applyFill="1" applyBorder="1" applyProtection="1"/>
    <xf numFmtId="0" fontId="4" fillId="4" borderId="4" xfId="0" applyFont="1" applyFill="1" applyBorder="1" applyProtection="1"/>
    <xf numFmtId="0" fontId="4" fillId="3" borderId="0" xfId="0" applyFont="1" applyFill="1" applyBorder="1" applyProtection="1"/>
    <xf numFmtId="0" fontId="4" fillId="0" borderId="6" xfId="0" applyFont="1" applyBorder="1" applyProtection="1"/>
    <xf numFmtId="0" fontId="4" fillId="0" borderId="0" xfId="0" applyFont="1" applyBorder="1" applyProtection="1"/>
    <xf numFmtId="0" fontId="4" fillId="0" borderId="11" xfId="0" applyFont="1" applyBorder="1" applyProtection="1"/>
    <xf numFmtId="0" fontId="12" fillId="4" borderId="19" xfId="0" applyFont="1" applyFill="1" applyBorder="1" applyAlignment="1" applyProtection="1">
      <alignment horizontal="left" wrapText="1"/>
    </xf>
    <xf numFmtId="0" fontId="13" fillId="4" borderId="19" xfId="0" applyFont="1" applyFill="1" applyBorder="1" applyAlignment="1" applyProtection="1">
      <alignment horizontal="center" wrapText="1"/>
    </xf>
    <xf numFmtId="3" fontId="12" fillId="4" borderId="1" xfId="0" applyNumberFormat="1" applyFont="1" applyFill="1" applyBorder="1" applyAlignment="1" applyProtection="1">
      <alignment horizontal="center" wrapText="1"/>
    </xf>
    <xf numFmtId="0" fontId="12" fillId="4" borderId="19" xfId="0" applyFont="1" applyFill="1" applyBorder="1" applyAlignment="1" applyProtection="1">
      <alignment horizontal="center" wrapText="1"/>
    </xf>
    <xf numFmtId="166" fontId="5" fillId="0" borderId="0" xfId="0" applyNumberFormat="1" applyFont="1" applyFill="1" applyBorder="1" applyProtection="1"/>
    <xf numFmtId="0" fontId="13" fillId="0" borderId="19" xfId="0" applyFont="1" applyBorder="1" applyAlignment="1" applyProtection="1">
      <alignment horizontal="left" wrapText="1"/>
    </xf>
    <xf numFmtId="0" fontId="14" fillId="0" borderId="19" xfId="0" applyFont="1" applyBorder="1" applyAlignment="1" applyProtection="1">
      <alignment horizontal="center"/>
    </xf>
    <xf numFmtId="0" fontId="14" fillId="0" borderId="19" xfId="0" applyFont="1" applyBorder="1" applyProtection="1"/>
    <xf numFmtId="0" fontId="14" fillId="0" borderId="19" xfId="0" applyFont="1" applyBorder="1" applyAlignment="1" applyProtection="1">
      <alignment horizontal="right"/>
    </xf>
    <xf numFmtId="2" fontId="14" fillId="0" borderId="19" xfId="0" applyNumberFormat="1" applyFont="1" applyBorder="1" applyProtection="1"/>
    <xf numFmtId="0" fontId="13" fillId="0" borderId="0" xfId="0" applyFont="1" applyBorder="1" applyAlignment="1" applyProtection="1">
      <alignment horizontal="left" wrapText="1"/>
    </xf>
    <xf numFmtId="3" fontId="5" fillId="0" borderId="1" xfId="0" applyNumberFormat="1" applyFont="1" applyBorder="1" applyProtection="1"/>
    <xf numFmtId="2" fontId="5" fillId="0" borderId="1" xfId="0" applyNumberFormat="1" applyFont="1" applyBorder="1" applyProtection="1"/>
    <xf numFmtId="3" fontId="13" fillId="0" borderId="1" xfId="0" applyNumberFormat="1" applyFont="1" applyBorder="1" applyProtection="1"/>
    <xf numFmtId="0" fontId="13" fillId="0" borderId="19" xfId="0" applyFont="1" applyBorder="1" applyAlignment="1" applyProtection="1">
      <alignment wrapText="1"/>
    </xf>
    <xf numFmtId="0" fontId="13" fillId="0" borderId="19" xfId="0" applyFont="1" applyBorder="1" applyAlignment="1" applyProtection="1">
      <alignment horizontal="right"/>
    </xf>
    <xf numFmtId="0" fontId="13" fillId="0" borderId="19" xfId="0" applyFont="1" applyBorder="1" applyProtection="1"/>
    <xf numFmtId="4" fontId="13" fillId="0" borderId="19" xfId="0" applyNumberFormat="1" applyFont="1" applyFill="1" applyBorder="1" applyProtection="1"/>
    <xf numFmtId="0" fontId="12" fillId="0" borderId="19" xfId="0" applyFont="1" applyBorder="1" applyAlignment="1" applyProtection="1">
      <alignment wrapText="1"/>
    </xf>
    <xf numFmtId="3" fontId="13" fillId="0" borderId="19" xfId="0" applyNumberFormat="1" applyFont="1" applyFill="1" applyBorder="1" applyProtection="1"/>
    <xf numFmtId="0" fontId="5" fillId="0" borderId="19" xfId="0" applyFont="1" applyBorder="1" applyAlignment="1" applyProtection="1">
      <alignment wrapText="1"/>
    </xf>
    <xf numFmtId="2" fontId="13" fillId="0" borderId="19" xfId="0" applyNumberFormat="1" applyFont="1" applyBorder="1" applyProtection="1"/>
    <xf numFmtId="0" fontId="5" fillId="0" borderId="0" xfId="0" applyFont="1" applyAlignment="1" applyProtection="1">
      <alignment wrapText="1"/>
    </xf>
    <xf numFmtId="2" fontId="5" fillId="0" borderId="0" xfId="0" applyNumberFormat="1" applyFont="1" applyBorder="1" applyProtection="1"/>
    <xf numFmtId="169" fontId="5" fillId="0" borderId="0" xfId="0" applyNumberFormat="1" applyFont="1" applyBorder="1" applyProtection="1"/>
    <xf numFmtId="2" fontId="5" fillId="0" borderId="0" xfId="0" applyNumberFormat="1" applyFont="1" applyFill="1" applyBorder="1" applyProtection="1"/>
    <xf numFmtId="2" fontId="5" fillId="0" borderId="0" xfId="0" applyNumberFormat="1" applyFont="1" applyFill="1" applyBorder="1" applyAlignment="1" applyProtection="1">
      <alignment horizontal="right"/>
    </xf>
    <xf numFmtId="164" fontId="4" fillId="0" borderId="0" xfId="0" applyNumberFormat="1" applyFont="1" applyProtection="1"/>
    <xf numFmtId="0" fontId="5" fillId="0" borderId="6" xfId="0" applyFont="1" applyBorder="1" applyAlignment="1" applyProtection="1">
      <alignment horizontal="left"/>
      <protection locked="0"/>
    </xf>
    <xf numFmtId="10" fontId="5" fillId="2" borderId="0" xfId="2" applyNumberFormat="1" applyFont="1" applyFill="1" applyBorder="1" applyAlignment="1" applyProtection="1">
      <alignment horizontal="right"/>
    </xf>
    <xf numFmtId="0" fontId="8" fillId="5" borderId="13" xfId="0" applyFont="1" applyFill="1" applyBorder="1" applyAlignment="1" applyProtection="1">
      <alignment horizontal="center"/>
      <protection locked="0"/>
    </xf>
    <xf numFmtId="0" fontId="4" fillId="5" borderId="13" xfId="0" applyFont="1" applyFill="1" applyBorder="1" applyProtection="1">
      <protection locked="0"/>
    </xf>
    <xf numFmtId="164" fontId="4" fillId="5" borderId="13" xfId="0" applyNumberFormat="1" applyFont="1" applyFill="1" applyBorder="1" applyProtection="1">
      <protection locked="0"/>
    </xf>
    <xf numFmtId="164" fontId="4" fillId="5" borderId="20" xfId="0" applyNumberFormat="1" applyFont="1" applyFill="1" applyBorder="1" applyProtection="1">
      <protection locked="0"/>
    </xf>
    <xf numFmtId="0" fontId="4" fillId="0" borderId="0" xfId="0" applyFont="1" applyAlignment="1" applyProtection="1">
      <alignment wrapText="1"/>
    </xf>
    <xf numFmtId="0" fontId="12" fillId="4" borderId="4" xfId="0" applyFont="1" applyFill="1" applyBorder="1" applyAlignment="1" applyProtection="1">
      <alignment horizontal="left"/>
    </xf>
    <xf numFmtId="0" fontId="12" fillId="0" borderId="0" xfId="0" applyFont="1" applyFill="1" applyBorder="1" applyAlignment="1" applyProtection="1">
      <alignment horizontal="center"/>
    </xf>
    <xf numFmtId="8" fontId="13" fillId="3" borderId="19" xfId="0" applyNumberFormat="1" applyFont="1" applyFill="1" applyBorder="1" applyProtection="1"/>
    <xf numFmtId="0" fontId="5" fillId="0" borderId="0" xfId="0" applyFont="1" applyFill="1" applyBorder="1" applyProtection="1"/>
    <xf numFmtId="167" fontId="5" fillId="3" borderId="0" xfId="0" applyNumberFormat="1" applyFont="1" applyFill="1" applyBorder="1" applyProtection="1"/>
    <xf numFmtId="168" fontId="4" fillId="3" borderId="6" xfId="0" applyNumberFormat="1" applyFont="1" applyFill="1" applyBorder="1" applyProtection="1"/>
    <xf numFmtId="172" fontId="13" fillId="3" borderId="13" xfId="2" applyNumberFormat="1" applyFont="1" applyFill="1" applyBorder="1" applyAlignment="1" applyProtection="1">
      <alignment horizontal="right"/>
    </xf>
    <xf numFmtId="172" fontId="13" fillId="3" borderId="0" xfId="2" applyNumberFormat="1" applyFont="1" applyFill="1" applyBorder="1" applyAlignment="1" applyProtection="1">
      <alignment horizontal="right"/>
    </xf>
    <xf numFmtId="0" fontId="18" fillId="0" borderId="0" xfId="0" applyFont="1"/>
    <xf numFmtId="0" fontId="19" fillId="0" borderId="0" xfId="0" applyFont="1"/>
    <xf numFmtId="0" fontId="0" fillId="0" borderId="0" xfId="0" applyAlignment="1">
      <alignment vertical="center"/>
    </xf>
    <xf numFmtId="0" fontId="21" fillId="0" borderId="0" xfId="0" applyFont="1" applyAlignment="1">
      <alignment vertical="center"/>
    </xf>
    <xf numFmtId="0" fontId="22" fillId="0" borderId="0" xfId="0" applyFont="1" applyAlignment="1">
      <alignment vertical="center"/>
    </xf>
    <xf numFmtId="0" fontId="0" fillId="0" borderId="0" xfId="0" applyAlignment="1">
      <alignment horizontal="left" vertical="center" indent="1"/>
    </xf>
    <xf numFmtId="0" fontId="20" fillId="0" borderId="0" xfId="0" applyFont="1" applyAlignment="1">
      <alignment horizontal="left" vertical="center" indent="1"/>
    </xf>
    <xf numFmtId="1" fontId="19" fillId="0" borderId="0" xfId="0" applyNumberFormat="1" applyFont="1"/>
    <xf numFmtId="2" fontId="19" fillId="0" borderId="0" xfId="0" applyNumberFormat="1" applyFont="1"/>
    <xf numFmtId="0" fontId="19" fillId="0" borderId="24" xfId="0" applyFont="1" applyBorder="1"/>
    <xf numFmtId="1" fontId="19" fillId="0" borderId="24" xfId="0" applyNumberFormat="1" applyFont="1" applyBorder="1"/>
    <xf numFmtId="2" fontId="19" fillId="0" borderId="24" xfId="0" applyNumberFormat="1" applyFont="1" applyBorder="1"/>
    <xf numFmtId="0" fontId="23" fillId="3" borderId="24" xfId="0" applyFont="1" applyFill="1" applyBorder="1"/>
    <xf numFmtId="0" fontId="19" fillId="0" borderId="0" xfId="0" applyFont="1" applyBorder="1"/>
    <xf numFmtId="1" fontId="19" fillId="0" borderId="0" xfId="0" applyNumberFormat="1" applyFont="1" applyBorder="1"/>
    <xf numFmtId="0" fontId="24" fillId="0" borderId="0" xfId="3"/>
    <xf numFmtId="172" fontId="24" fillId="0" borderId="0" xfId="3" applyNumberFormat="1"/>
    <xf numFmtId="172" fontId="19" fillId="0" borderId="0" xfId="0" applyNumberFormat="1" applyFont="1"/>
    <xf numFmtId="0" fontId="19" fillId="3" borderId="24" xfId="0" applyFont="1" applyFill="1" applyBorder="1"/>
    <xf numFmtId="174" fontId="19" fillId="0" borderId="24" xfId="0" applyNumberFormat="1" applyFont="1" applyBorder="1"/>
    <xf numFmtId="1" fontId="23" fillId="3" borderId="24" xfId="0" applyNumberFormat="1" applyFont="1" applyFill="1" applyBorder="1"/>
    <xf numFmtId="4" fontId="5" fillId="6" borderId="0" xfId="0" applyNumberFormat="1" applyFont="1" applyFill="1" applyBorder="1" applyProtection="1">
      <protection locked="0"/>
    </xf>
    <xf numFmtId="3" fontId="5" fillId="6" borderId="0" xfId="0" applyNumberFormat="1" applyFont="1" applyFill="1" applyBorder="1" applyProtection="1">
      <protection locked="0"/>
    </xf>
    <xf numFmtId="0" fontId="5" fillId="6" borderId="0" xfId="0" applyFont="1" applyFill="1" applyBorder="1" applyAlignment="1" applyProtection="1">
      <alignment horizontal="right"/>
      <protection locked="0"/>
    </xf>
    <xf numFmtId="170" fontId="5" fillId="6" borderId="0" xfId="0" applyNumberFormat="1" applyFont="1" applyFill="1" applyBorder="1" applyProtection="1">
      <protection locked="0"/>
    </xf>
    <xf numFmtId="169" fontId="5" fillId="6" borderId="0" xfId="1" applyNumberFormat="1" applyFont="1" applyFill="1" applyBorder="1" applyProtection="1">
      <protection locked="0"/>
    </xf>
    <xf numFmtId="169" fontId="5" fillId="6" borderId="0" xfId="0" applyNumberFormat="1" applyFont="1" applyFill="1" applyBorder="1" applyProtection="1">
      <protection locked="0"/>
    </xf>
    <xf numFmtId="167" fontId="5" fillId="6" borderId="0" xfId="0" applyNumberFormat="1" applyFont="1" applyFill="1" applyBorder="1" applyProtection="1">
      <protection locked="0"/>
    </xf>
    <xf numFmtId="173" fontId="5" fillId="6" borderId="0" xfId="0" applyNumberFormat="1" applyFont="1" applyFill="1" applyBorder="1" applyAlignment="1" applyProtection="1">
      <alignment horizontal="right"/>
      <protection locked="0"/>
    </xf>
    <xf numFmtId="1" fontId="4" fillId="0" borderId="10" xfId="0" applyNumberFormat="1" applyFont="1" applyFill="1" applyBorder="1" applyProtection="1">
      <protection locked="0"/>
    </xf>
    <xf numFmtId="0" fontId="5" fillId="6" borderId="0" xfId="0" applyFont="1" applyFill="1" applyBorder="1" applyAlignment="1" applyProtection="1">
      <alignment wrapText="1"/>
      <protection locked="0"/>
    </xf>
    <xf numFmtId="0" fontId="14" fillId="6" borderId="0" xfId="0" applyFont="1" applyFill="1" applyBorder="1" applyAlignment="1" applyProtection="1">
      <alignment horizontal="center"/>
      <protection locked="0"/>
    </xf>
    <xf numFmtId="0" fontId="5" fillId="6" borderId="0" xfId="0" applyFont="1" applyFill="1" applyBorder="1" applyAlignment="1" applyProtection="1">
      <alignment wrapText="1"/>
    </xf>
    <xf numFmtId="0" fontId="14" fillId="6" borderId="0" xfId="0" quotePrefix="1" applyFont="1" applyFill="1" applyBorder="1" applyAlignment="1" applyProtection="1">
      <alignment horizontal="center"/>
    </xf>
    <xf numFmtId="0" fontId="5" fillId="6" borderId="0" xfId="0" applyFont="1" applyFill="1" applyBorder="1" applyAlignment="1" applyProtection="1">
      <alignment horizontal="center"/>
      <protection locked="0"/>
    </xf>
    <xf numFmtId="0" fontId="14" fillId="6" borderId="0" xfId="0" applyFont="1" applyFill="1" applyBorder="1" applyAlignment="1" applyProtection="1">
      <alignment horizontal="center"/>
    </xf>
    <xf numFmtId="0" fontId="5" fillId="6" borderId="0" xfId="0" applyFont="1" applyFill="1" applyBorder="1" applyAlignment="1" applyProtection="1">
      <alignment horizontal="right"/>
    </xf>
    <xf numFmtId="3" fontId="5" fillId="6" borderId="0" xfId="0" applyNumberFormat="1" applyFont="1" applyFill="1" applyBorder="1" applyProtection="1"/>
    <xf numFmtId="0" fontId="4" fillId="6" borderId="5" xfId="0" applyFont="1" applyFill="1" applyBorder="1" applyAlignment="1" applyProtection="1">
      <alignment wrapText="1"/>
    </xf>
    <xf numFmtId="0" fontId="4" fillId="6" borderId="9" xfId="0" applyFont="1" applyFill="1" applyBorder="1" applyAlignment="1" applyProtection="1">
      <alignment wrapText="1"/>
    </xf>
    <xf numFmtId="0" fontId="19" fillId="6" borderId="24" xfId="0" applyFont="1" applyFill="1" applyBorder="1"/>
    <xf numFmtId="0" fontId="19" fillId="6" borderId="0" xfId="0" applyFont="1" applyFill="1"/>
    <xf numFmtId="1" fontId="19" fillId="6" borderId="24" xfId="0" applyNumberFormat="1" applyFont="1" applyFill="1" applyBorder="1"/>
    <xf numFmtId="1" fontId="19" fillId="6" borderId="0" xfId="0" applyNumberFormat="1" applyFont="1" applyFill="1"/>
    <xf numFmtId="2" fontId="19" fillId="6" borderId="24" xfId="0" applyNumberFormat="1" applyFont="1" applyFill="1" applyBorder="1"/>
    <xf numFmtId="2" fontId="19" fillId="6" borderId="0" xfId="0" applyNumberFormat="1" applyFont="1" applyFill="1"/>
    <xf numFmtId="0" fontId="19" fillId="6" borderId="0" xfId="0" applyFont="1" applyFill="1" applyBorder="1"/>
    <xf numFmtId="1" fontId="19" fillId="6" borderId="0" xfId="0" applyNumberFormat="1" applyFont="1" applyFill="1" applyBorder="1"/>
  </cellXfs>
  <cellStyles count="9">
    <cellStyle name="Comma" xfId="7"/>
    <cellStyle name="Comma [0]" xfId="8"/>
    <cellStyle name="Currency" xfId="5"/>
    <cellStyle name="Currency [0]" xfId="6"/>
    <cellStyle name="Normal" xfId="0" builtinId="0"/>
    <cellStyle name="Normal 2" xfId="2"/>
    <cellStyle name="Normal 3" xfId="3"/>
    <cellStyle name="Percent" xfId="4"/>
    <cellStyle name="Procent" xfId="1" builtinId="5"/>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0</xdr:colOff>
      <xdr:row>2</xdr:row>
      <xdr:rowOff>0</xdr:rowOff>
    </xdr:from>
    <xdr:ext cx="7953374" cy="3228975"/>
    <xdr:sp macro="" textlink="">
      <xdr:nvSpPr>
        <xdr:cNvPr id="2" name="textruta 1"/>
        <xdr:cNvSpPr txBox="1"/>
      </xdr:nvSpPr>
      <xdr:spPr>
        <a:xfrm>
          <a:off x="0" y="533400"/>
          <a:ext cx="7953374" cy="3228975"/>
        </a:xfrm>
        <a:prstGeom prst="rect">
          <a:avLst/>
        </a:prstGeom>
        <a:solidFill>
          <a:schemeClr val="accent4">
            <a:lumMod val="40000"/>
            <a:lumOff val="60000"/>
          </a:schemeClr>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sv-SE" sz="1600" b="1">
              <a:solidFill>
                <a:schemeClr val="tx1"/>
              </a:solidFill>
              <a:effectLst/>
              <a:latin typeface="Cambria" panose="02040503050406030204" pitchFamily="18" charset="0"/>
              <a:ea typeface="+mn-ea"/>
              <a:cs typeface="+mn-cs"/>
            </a:rPr>
            <a:t>Anvisningar</a:t>
          </a:r>
        </a:p>
        <a:p>
          <a:pPr marL="0" marR="0" indent="0" defTabSz="914400" eaLnBrk="1" fontAlgn="auto" latinLnBrk="0" hangingPunct="1">
            <a:lnSpc>
              <a:spcPct val="100000"/>
            </a:lnSpc>
            <a:spcBef>
              <a:spcPts val="0"/>
            </a:spcBef>
            <a:spcAft>
              <a:spcPts val="0"/>
            </a:spcAft>
            <a:buClrTx/>
            <a:buSzTx/>
            <a:buFontTx/>
            <a:buNone/>
            <a:tabLst/>
            <a:defRPr/>
          </a:pPr>
          <a:endParaRPr lang="sv-SE" sz="9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050" b="0">
              <a:solidFill>
                <a:schemeClr val="tx1"/>
              </a:solidFill>
              <a:effectLst/>
              <a:latin typeface="Cambria" panose="02040503050406030204" pitchFamily="18" charset="0"/>
              <a:ea typeface="+mn-ea"/>
              <a:cs typeface="+mn-cs"/>
            </a:rPr>
            <a:t>I</a:t>
          </a:r>
          <a:r>
            <a:rPr lang="sv-SE" sz="1050" b="0" baseline="0">
              <a:solidFill>
                <a:schemeClr val="tx1"/>
              </a:solidFill>
              <a:effectLst/>
              <a:latin typeface="Cambria" panose="02040503050406030204" pitchFamily="18" charset="0"/>
              <a:ea typeface="+mn-ea"/>
              <a:cs typeface="+mn-cs"/>
            </a:rPr>
            <a:t> </a:t>
          </a:r>
          <a:r>
            <a:rPr lang="sv-SE" sz="1100" b="0" baseline="0">
              <a:solidFill>
                <a:schemeClr val="tx1"/>
              </a:solidFill>
              <a:effectLst/>
              <a:latin typeface="Cambria" panose="02040503050406030204" pitchFamily="18" charset="0"/>
              <a:ea typeface="+mn-ea"/>
              <a:cs typeface="+mn-cs"/>
            </a:rPr>
            <a:t>denna kalkylmall gör du</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mn-lt"/>
              <a:ea typeface="+mn-ea"/>
              <a:cs typeface="+mn-cs"/>
            </a:rPr>
            <a:t>- </a:t>
          </a:r>
          <a:r>
            <a:rPr lang="sv-SE" sz="1100" b="0" baseline="0">
              <a:solidFill>
                <a:schemeClr val="tx1"/>
              </a:solidFill>
              <a:effectLst/>
              <a:latin typeface="Cambria" panose="02040503050406030204" pitchFamily="18" charset="0"/>
              <a:ea typeface="+mn-ea"/>
              <a:cs typeface="+mn-cs"/>
            </a:rPr>
            <a:t>investeringskalkyl</a:t>
          </a:r>
          <a:endParaRPr lang="sv-SE">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 driftkalkyl för 12 månader</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1) Börja med att fylla i fliken "Investeringskalkyl"</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2) Fyll därefter i driftkalkylen. Det finns en flik för varje produktionsgren. Välj den som är aktuell. Övriga flikar kan du ta bort. </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     - Avskrivningar och ränta beräknas automatiskt med hjälp av de uppgifter du skrivit in i fliken "Investeringskalkyl".</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3) När du fyllt i driftkalkylen för aktuellt djurslag så kommer investeringskalkylen att beräknas Fyll sedan i investeringskalkylen</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     - Investeringskalkylen bygger på de uppgifter du lagt in i fliken "Investeringsutgift" och fliken "Driftkalkyl" för aktuellt djurslag. </a:t>
          </a:r>
        </a:p>
        <a:p>
          <a:pPr marL="0" marR="0" indent="0" defTabSz="914400" eaLnBrk="1" fontAlgn="auto" latinLnBrk="0" hangingPunct="1">
            <a:lnSpc>
              <a:spcPct val="100000"/>
            </a:lnSpc>
            <a:spcBef>
              <a:spcPts val="0"/>
            </a:spcBef>
            <a:spcAft>
              <a:spcPts val="0"/>
            </a:spcAft>
            <a:buClrTx/>
            <a:buSzTx/>
            <a:buFontTx/>
            <a:buNone/>
            <a:tabLst/>
            <a:defRPr/>
          </a:pPr>
          <a:endParaRPr lang="sv-SE" sz="105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050" b="0" baseline="0">
              <a:solidFill>
                <a:schemeClr val="tx1"/>
              </a:solidFill>
              <a:effectLst/>
              <a:latin typeface="Cambria" panose="02040503050406030204" pitchFamily="18" charset="0"/>
              <a:ea typeface="+mn-ea"/>
              <a:cs typeface="+mn-cs"/>
            </a:rPr>
            <a:t>Kalkylbladen är låsta för att du inte ska råka ändra några formler av misstag. Det går att låsa upp dem under fliken "Granska" och klicka på "Ta bort bladets skydd". Det behövs inget lösenord för att låsa upp kalkylbladen. </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323850</xdr:colOff>
      <xdr:row>0</xdr:row>
      <xdr:rowOff>152399</xdr:rowOff>
    </xdr:from>
    <xdr:ext cx="7267575" cy="20678776"/>
    <xdr:sp macro="" textlink="">
      <xdr:nvSpPr>
        <xdr:cNvPr id="2" name="textruta 1"/>
        <xdr:cNvSpPr txBox="1"/>
      </xdr:nvSpPr>
      <xdr:spPr>
        <a:xfrm>
          <a:off x="7496175" y="152399"/>
          <a:ext cx="7267575" cy="20678776"/>
        </a:xfrm>
        <a:prstGeom prst="rect">
          <a:avLst/>
        </a:prstGeom>
        <a:solidFill>
          <a:schemeClr val="accent4">
            <a:lumMod val="40000"/>
            <a:lumOff val="60000"/>
          </a:schemeClr>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sv-SE" sz="1600" b="1">
              <a:solidFill>
                <a:schemeClr val="tx1"/>
              </a:solidFill>
              <a:effectLst/>
              <a:latin typeface="Cambria" panose="02040503050406030204" pitchFamily="18" charset="0"/>
              <a:ea typeface="+mn-ea"/>
              <a:cs typeface="+mn-cs"/>
            </a:rPr>
            <a:t>Anvisningar</a:t>
          </a:r>
        </a:p>
        <a:p>
          <a:pPr eaLnBrk="1" fontAlgn="auto" latinLnBrk="0" hangingPunct="1"/>
          <a:endParaRPr lang="sv-SE" sz="9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Automatiska</a:t>
          </a:r>
          <a:r>
            <a:rPr lang="sv-SE" sz="1100" b="1" baseline="0">
              <a:solidFill>
                <a:schemeClr val="tx1"/>
              </a:solidFill>
              <a:effectLst/>
              <a:latin typeface="Cambria" panose="02040503050406030204" pitchFamily="18" charset="0"/>
              <a:ea typeface="+mn-ea"/>
              <a:cs typeface="+mn-cs"/>
            </a:rPr>
            <a:t> beräkningar</a:t>
          </a:r>
          <a:endParaRPr lang="sv-SE" sz="1100">
            <a:effectLst/>
            <a:latin typeface="Cambria" panose="02040503050406030204" pitchFamily="18" charset="0"/>
          </a:endParaRPr>
        </a:p>
        <a:p>
          <a:r>
            <a:rPr lang="sv-SE" sz="1100" b="0">
              <a:solidFill>
                <a:schemeClr val="tx1"/>
              </a:solidFill>
              <a:effectLst/>
              <a:latin typeface="Cambria" panose="02040503050406030204" pitchFamily="18" charset="0"/>
              <a:ea typeface="+mn-ea"/>
              <a:cs typeface="+mn-cs"/>
            </a:rPr>
            <a:t>Celler</a:t>
          </a:r>
          <a:r>
            <a:rPr lang="sv-SE" sz="1100" b="0" baseline="0">
              <a:solidFill>
                <a:schemeClr val="tx1"/>
              </a:solidFill>
              <a:effectLst/>
              <a:latin typeface="Cambria" panose="02040503050406030204" pitchFamily="18" charset="0"/>
              <a:ea typeface="+mn-ea"/>
              <a:cs typeface="+mn-cs"/>
            </a:rPr>
            <a:t> som är markerade med ljusgrön bakgrund beräknas automatiskt. </a:t>
          </a:r>
          <a:endParaRPr lang="sv-SE" sz="1100" b="0">
            <a:solidFill>
              <a:schemeClr val="tx1"/>
            </a:solidFill>
            <a:effectLst/>
            <a:latin typeface="Cambria" panose="02040503050406030204" pitchFamily="18" charset="0"/>
            <a:ea typeface="+mn-ea"/>
            <a:cs typeface="+mn-cs"/>
          </a:endParaRPr>
        </a:p>
        <a:p>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Ange</a:t>
          </a:r>
          <a:r>
            <a:rPr lang="sv-SE" sz="1100" b="1" baseline="0">
              <a:solidFill>
                <a:schemeClr val="tx1"/>
              </a:solidFill>
              <a:effectLst/>
              <a:latin typeface="Cambria" panose="02040503050406030204" pitchFamily="18" charset="0"/>
              <a:ea typeface="+mn-ea"/>
              <a:cs typeface="+mn-cs"/>
            </a:rPr>
            <a:t> typ av stall</a:t>
          </a:r>
          <a:endParaRPr lang="sv-SE" sz="1100">
            <a:effectLst/>
            <a:latin typeface="Cambria" panose="02040503050406030204" pitchFamily="18" charset="0"/>
          </a:endParaRPr>
        </a:p>
        <a:p>
          <a:pPr eaLnBrk="1" fontAlgn="auto" latinLnBrk="0" hangingPunct="1"/>
          <a:r>
            <a:rPr lang="sv-SE" sz="1100" b="0">
              <a:solidFill>
                <a:schemeClr val="tx1"/>
              </a:solidFill>
              <a:effectLst/>
              <a:latin typeface="Cambria" panose="02040503050406030204" pitchFamily="18" charset="0"/>
              <a:ea typeface="+mn-ea"/>
              <a:cs typeface="+mn-cs"/>
            </a:rPr>
            <a:t>Rad 2: Beskriv vad det är</a:t>
          </a:r>
          <a:r>
            <a:rPr lang="sv-SE" sz="1100" b="0" baseline="0">
              <a:solidFill>
                <a:schemeClr val="tx1"/>
              </a:solidFill>
              <a:effectLst/>
              <a:latin typeface="Cambria" panose="02040503050406030204" pitchFamily="18" charset="0"/>
              <a:ea typeface="+mn-ea"/>
              <a:cs typeface="+mn-cs"/>
            </a:rPr>
            <a:t> för typ av stall konceptet avser. T.ex. Stall för slaktgrisproduktion </a:t>
          </a:r>
        </a:p>
        <a:p>
          <a:pPr eaLnBrk="1" fontAlgn="auto" latinLnBrk="0" hangingPunct="1"/>
          <a:endParaRPr lang="sv-SE" sz="1100">
            <a:effectLst/>
            <a:latin typeface="Cambria" panose="02040503050406030204" pitchFamily="18" charset="0"/>
          </a:endParaRPr>
        </a:p>
        <a:p>
          <a:pPr eaLnBrk="1" fontAlgn="auto" latinLnBrk="0" hangingPunct="1"/>
          <a:r>
            <a:rPr lang="sv-SE" sz="1100" b="1">
              <a:solidFill>
                <a:schemeClr val="tx1"/>
              </a:solidFill>
              <a:effectLst/>
              <a:latin typeface="Cambria" panose="02040503050406030204" pitchFamily="18" charset="0"/>
              <a:ea typeface="+mn-ea"/>
              <a:cs typeface="+mn-cs"/>
            </a:rPr>
            <a:t>Utvecklingsgrupp</a:t>
          </a:r>
          <a:endParaRPr lang="sv-SE" sz="1100">
            <a:effectLst/>
            <a:latin typeface="Cambria" panose="02040503050406030204" pitchFamily="18" charset="0"/>
          </a:endParaRPr>
        </a:p>
        <a:p>
          <a:pPr eaLnBrk="1" fontAlgn="auto" latinLnBrk="0" hangingPunct="1"/>
          <a:r>
            <a:rPr lang="sv-SE" sz="1100" b="0">
              <a:solidFill>
                <a:schemeClr val="tx1"/>
              </a:solidFill>
              <a:effectLst/>
              <a:latin typeface="Cambria" panose="02040503050406030204" pitchFamily="18" charset="0"/>
              <a:ea typeface="+mn-ea"/>
              <a:cs typeface="+mn-cs"/>
            </a:rPr>
            <a:t>Skriv in namn</a:t>
          </a:r>
          <a:r>
            <a:rPr lang="sv-SE" sz="1100" b="0" baseline="0">
              <a:solidFill>
                <a:schemeClr val="tx1"/>
              </a:solidFill>
              <a:effectLst/>
              <a:latin typeface="Cambria" panose="02040503050406030204" pitchFamily="18" charset="0"/>
              <a:ea typeface="+mn-ea"/>
              <a:cs typeface="+mn-cs"/>
            </a:rPr>
            <a:t> och organisation på de personer som ingår i utvecklingsgruppen som tagit fram konceptet. </a:t>
          </a:r>
          <a:endParaRPr lang="sv-SE" sz="110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u="sng" baseline="0">
              <a:solidFill>
                <a:schemeClr val="tx1"/>
              </a:solidFill>
              <a:effectLst/>
              <a:latin typeface="Cambria" panose="02040503050406030204" pitchFamily="18" charset="0"/>
              <a:ea typeface="+mn-ea"/>
              <a:cs typeface="+mn-cs"/>
            </a:rPr>
            <a:t>GRUNDDATA </a:t>
          </a:r>
        </a:p>
        <a:p>
          <a:pPr eaLnBrk="1" fontAlgn="auto" latinLnBrk="0" hangingPunct="1"/>
          <a:r>
            <a:rPr lang="sv-SE" sz="1100" b="1" baseline="0">
              <a:solidFill>
                <a:schemeClr val="tx1"/>
              </a:solidFill>
              <a:effectLst/>
              <a:latin typeface="Cambria" panose="02040503050406030204" pitchFamily="18" charset="0"/>
              <a:ea typeface="+mn-ea"/>
              <a:cs typeface="+mn-cs"/>
            </a:rPr>
            <a:t>Antal djurplatser</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Ange hur många djurplatser stallet är dimensionerat för. </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T.ex. </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 X mjölkkor</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 Y suggor </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 Z slakgrisar</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Denna uppgift används för att räkna ut investeringsutgiften per djurplats. Det är därför viktigt att du anger antalet djurplatser med samma enhet som framgår av kraven på maximal investeringsutgift, se "Investeringsutgift per djurplats" nedan. </a:t>
          </a:r>
        </a:p>
        <a:p>
          <a:pPr eaLnBrk="1" fontAlgn="auto" latinLnBrk="0" hangingPunct="1"/>
          <a:r>
            <a:rPr lang="sv-SE" sz="1100" b="0" baseline="0">
              <a:solidFill>
                <a:schemeClr val="tx1"/>
              </a:solidFill>
              <a:effectLst/>
              <a:latin typeface="Cambria" panose="02040503050406030204" pitchFamily="18" charset="0"/>
              <a:ea typeface="+mn-ea"/>
              <a:cs typeface="+mn-cs"/>
            </a:rPr>
            <a:t>Välj djurslag i rullistan. </a:t>
          </a:r>
          <a:endParaRPr lang="sv-SE" sz="110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Yta</a:t>
          </a:r>
        </a:p>
        <a:p>
          <a:pPr marL="0" marR="0" indent="0" defTabSz="914400" eaLnBrk="1" fontAlgn="auto" latinLnBrk="0" hangingPunct="1">
            <a:lnSpc>
              <a:spcPct val="100000"/>
            </a:lnSpc>
            <a:spcBef>
              <a:spcPts val="0"/>
            </a:spcBef>
            <a:spcAft>
              <a:spcPts val="0"/>
            </a:spcAft>
            <a:buClrTx/>
            <a:buSzTx/>
            <a:buFontTx/>
            <a:buNone/>
            <a:tabLst/>
            <a:defRPr/>
          </a:pPr>
          <a:r>
            <a:rPr lang="sv-SE" sz="1100" b="0">
              <a:solidFill>
                <a:schemeClr val="tx1"/>
              </a:solidFill>
              <a:effectLst/>
              <a:latin typeface="Cambria" panose="02040503050406030204" pitchFamily="18" charset="0"/>
              <a:ea typeface="+mn-ea"/>
              <a:cs typeface="+mn-cs"/>
            </a:rPr>
            <a:t>Ange</a:t>
          </a:r>
          <a:r>
            <a:rPr lang="sv-SE" sz="1100" b="0" baseline="0">
              <a:solidFill>
                <a:schemeClr val="tx1"/>
              </a:solidFill>
              <a:effectLst/>
              <a:latin typeface="Cambria" panose="02040503050406030204" pitchFamily="18" charset="0"/>
              <a:ea typeface="+mn-ea"/>
              <a:cs typeface="+mn-cs"/>
            </a:rPr>
            <a:t> ytan på stallet, serviceutrymmen respektive utrymmen för visning. </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u="sng" baseline="0">
              <a:solidFill>
                <a:schemeClr val="tx1"/>
              </a:solidFill>
              <a:effectLst/>
              <a:latin typeface="Cambria" panose="02040503050406030204" pitchFamily="18" charset="0"/>
              <a:ea typeface="+mn-ea"/>
              <a:cs typeface="+mn-cs"/>
            </a:rPr>
            <a:t>INVESTERINGSKALKYL</a:t>
          </a:r>
        </a:p>
        <a:p>
          <a:pPr marL="0" marR="0" indent="0" defTabSz="914400" eaLnBrk="1" fontAlgn="auto" latinLnBrk="0" hangingPunct="1">
            <a:lnSpc>
              <a:spcPct val="100000"/>
            </a:lnSpc>
            <a:spcBef>
              <a:spcPts val="0"/>
            </a:spcBef>
            <a:spcAft>
              <a:spcPts val="0"/>
            </a:spcAft>
            <a:buClrTx/>
            <a:buSzTx/>
            <a:buFontTx/>
            <a:buNone/>
            <a:tabLst/>
            <a:defRPr/>
          </a:pPr>
          <a:r>
            <a:rPr lang="sv-SE" sz="1100" b="1" i="0" baseline="0">
              <a:solidFill>
                <a:schemeClr val="tx1"/>
              </a:solidFill>
              <a:effectLst/>
              <a:latin typeface="Cambria" panose="02040503050406030204" pitchFamily="18" charset="0"/>
              <a:ea typeface="+mn-ea"/>
              <a:cs typeface="+mn-cs"/>
            </a:rPr>
            <a:t>Investeringsutgift </a:t>
          </a:r>
        </a:p>
        <a:p>
          <a:pPr marL="0" marR="0" indent="0" defTabSz="914400" eaLnBrk="1" fontAlgn="auto" latinLnBrk="0" hangingPunct="1">
            <a:lnSpc>
              <a:spcPct val="100000"/>
            </a:lnSpc>
            <a:spcBef>
              <a:spcPts val="0"/>
            </a:spcBef>
            <a:spcAft>
              <a:spcPts val="0"/>
            </a:spcAft>
            <a:buClrTx/>
            <a:buSzTx/>
            <a:buFontTx/>
            <a:buNone/>
            <a:tabLst/>
            <a:defRPr/>
          </a:pPr>
          <a:r>
            <a:rPr lang="sv-SE" sz="1100" b="0" i="0" baseline="0">
              <a:solidFill>
                <a:schemeClr val="tx1"/>
              </a:solidFill>
              <a:effectLst/>
              <a:latin typeface="Cambria" panose="02040503050406030204" pitchFamily="18" charset="0"/>
              <a:ea typeface="+mn-ea"/>
              <a:cs typeface="+mn-cs"/>
            </a:rPr>
            <a:t>Beloppet hämtas när du har fyllt i uppgifter om investeringsutgift på denna flik. </a:t>
          </a:r>
        </a:p>
        <a:p>
          <a:pPr marL="0" marR="0" indent="0" defTabSz="914400" eaLnBrk="1" fontAlgn="auto" latinLnBrk="0" hangingPunct="1">
            <a:lnSpc>
              <a:spcPct val="100000"/>
            </a:lnSpc>
            <a:spcBef>
              <a:spcPts val="0"/>
            </a:spcBef>
            <a:spcAft>
              <a:spcPts val="0"/>
            </a:spcAft>
            <a:buClrTx/>
            <a:buSzTx/>
            <a:buFontTx/>
            <a:buNone/>
            <a:tabLst/>
            <a:defRPr/>
          </a:pPr>
          <a:endParaRPr lang="sv-SE" sz="1100" b="0" i="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i="0" baseline="0">
              <a:solidFill>
                <a:schemeClr val="tx1"/>
              </a:solidFill>
              <a:effectLst/>
              <a:latin typeface="Cambria" panose="02040503050406030204" pitchFamily="18" charset="0"/>
              <a:ea typeface="+mn-ea"/>
              <a:cs typeface="+mn-cs"/>
            </a:rPr>
            <a:t>Driftnetto</a:t>
          </a:r>
        </a:p>
        <a:p>
          <a:pPr marL="0" marR="0" indent="0" defTabSz="914400" eaLnBrk="1" fontAlgn="auto" latinLnBrk="0" hangingPunct="1">
            <a:lnSpc>
              <a:spcPct val="100000"/>
            </a:lnSpc>
            <a:spcBef>
              <a:spcPts val="0"/>
            </a:spcBef>
            <a:spcAft>
              <a:spcPts val="0"/>
            </a:spcAft>
            <a:buClrTx/>
            <a:buSzTx/>
            <a:buFontTx/>
            <a:buNone/>
            <a:tabLst/>
            <a:defRPr/>
          </a:pPr>
          <a:r>
            <a:rPr lang="sv-SE" sz="1100" b="0" i="0" baseline="0">
              <a:solidFill>
                <a:schemeClr val="tx1"/>
              </a:solidFill>
              <a:effectLst/>
              <a:latin typeface="Cambria" panose="02040503050406030204" pitchFamily="18" charset="0"/>
              <a:ea typeface="+mn-ea"/>
              <a:cs typeface="+mn-cs"/>
            </a:rPr>
            <a:t>Hämtas från driftskalkylen när du har fyllt i den på annan flik i kalkylmallen. </a:t>
          </a:r>
        </a:p>
        <a:p>
          <a:pPr marL="0" marR="0" indent="0" defTabSz="914400" eaLnBrk="1" fontAlgn="auto" latinLnBrk="0" hangingPunct="1">
            <a:lnSpc>
              <a:spcPct val="100000"/>
            </a:lnSpc>
            <a:spcBef>
              <a:spcPts val="0"/>
            </a:spcBef>
            <a:spcAft>
              <a:spcPts val="0"/>
            </a:spcAft>
            <a:buClrTx/>
            <a:buSzTx/>
            <a:buFontTx/>
            <a:buNone/>
            <a:tabLst/>
            <a:defRPr/>
          </a:pPr>
          <a:endParaRPr lang="sv-SE" sz="1100" b="1" i="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i="0" baseline="0">
              <a:solidFill>
                <a:schemeClr val="tx1"/>
              </a:solidFill>
              <a:effectLst/>
              <a:latin typeface="Cambria" panose="02040503050406030204" pitchFamily="18" charset="0"/>
              <a:ea typeface="+mn-ea"/>
              <a:cs typeface="+mn-cs"/>
            </a:rPr>
            <a:t>Ekonomisk livslängd </a:t>
          </a:r>
        </a:p>
        <a:p>
          <a:pPr marL="0" marR="0" indent="0" defTabSz="914400" eaLnBrk="1" fontAlgn="auto" latinLnBrk="0" hangingPunct="1">
            <a:lnSpc>
              <a:spcPct val="100000"/>
            </a:lnSpc>
            <a:spcBef>
              <a:spcPts val="0"/>
            </a:spcBef>
            <a:spcAft>
              <a:spcPts val="0"/>
            </a:spcAft>
            <a:buClrTx/>
            <a:buSzTx/>
            <a:buFontTx/>
            <a:buNone/>
            <a:tabLst/>
            <a:defRPr/>
          </a:pPr>
          <a:r>
            <a:rPr lang="sv-SE" sz="1100" i="0" baseline="0">
              <a:solidFill>
                <a:schemeClr val="tx1"/>
              </a:solidFill>
              <a:effectLst/>
              <a:latin typeface="Cambria" panose="02040503050406030204" pitchFamily="18" charset="0"/>
              <a:ea typeface="+mn-ea"/>
              <a:cs typeface="+mn-cs"/>
            </a:rPr>
            <a:t>Ange hur lång den ekonomiska livslängden är för investeringen (10-15 år beroende på konstruktion och materialval). Den ekonomiska livslängden får inte vara längre än 15 år i kalkylen. </a:t>
          </a:r>
          <a:endParaRPr lang="sv-SE" sz="1100" i="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r>
            <a:rPr lang="sv-SE" sz="1100" b="1" baseline="0">
              <a:solidFill>
                <a:schemeClr val="tx1"/>
              </a:solidFill>
              <a:effectLst/>
              <a:latin typeface="Cambria" panose="02040503050406030204" pitchFamily="18" charset="0"/>
              <a:ea typeface="+mn-ea"/>
              <a:cs typeface="+mn-cs"/>
            </a:rPr>
            <a:t>Hur beräknas nettonuvärdet?</a:t>
          </a:r>
          <a:endParaRPr lang="sv-SE" sz="1100">
            <a:effectLst/>
            <a:latin typeface="Cambria" panose="02040503050406030204" pitchFamily="18" charset="0"/>
          </a:endParaRPr>
        </a:p>
        <a:p>
          <a:pPr eaLnBrk="1" fontAlgn="auto" latinLnBrk="0" hangingPunct="1"/>
          <a:r>
            <a:rPr lang="sv-SE" sz="1100" baseline="0">
              <a:solidFill>
                <a:schemeClr val="tx1"/>
              </a:solidFill>
              <a:effectLst/>
              <a:latin typeface="Cambria" panose="02040503050406030204" pitchFamily="18" charset="0"/>
              <a:ea typeface="+mn-ea"/>
              <a:cs typeface="+mn-cs"/>
            </a:rPr>
            <a:t>Beräkningen av investeringens nettonuvärde sker automatiskt när du fyllt i uppgifter om investeringsutgiften samt driftkalkyl för aktuell produktionsgren. </a:t>
          </a:r>
        </a:p>
        <a:p>
          <a:pPr eaLnBrk="1" fontAlgn="auto" latinLnBrk="0" hangingPunct="1"/>
          <a:endParaRPr lang="sv-SE" sz="1100">
            <a:effectLst/>
            <a:latin typeface="Cambria" panose="02040503050406030204" pitchFamily="18" charset="0"/>
          </a:endParaRPr>
        </a:p>
        <a:p>
          <a:pPr eaLnBrk="1" fontAlgn="auto" latinLnBrk="0" hangingPunct="1"/>
          <a:r>
            <a:rPr lang="sv-SE" sz="1100" baseline="0">
              <a:solidFill>
                <a:schemeClr val="tx1"/>
              </a:solidFill>
              <a:effectLst/>
              <a:latin typeface="Cambria" panose="02040503050406030204" pitchFamily="18" charset="0"/>
              <a:ea typeface="+mn-ea"/>
              <a:cs typeface="+mn-cs"/>
            </a:rPr>
            <a:t>Nettonuvärdet är en samlad bedömning av investeringens lönsamhet under hela den ekonomiska livslängden. Nuvärdet tar hänsyn till pengarnas tidsvärde. (100 kr är värt mer idag än om till exempel två år.) Investeringen ska klara ett avkastningskrav (nominell kalkylränta) på 5 %. </a:t>
          </a:r>
        </a:p>
        <a:p>
          <a:pPr eaLnBrk="1" fontAlgn="auto" latinLnBrk="0" hangingPunct="1"/>
          <a:endParaRPr lang="sv-SE" sz="1100">
            <a:effectLst/>
            <a:latin typeface="Cambria" panose="02040503050406030204" pitchFamily="18" charset="0"/>
          </a:endParaRPr>
        </a:p>
        <a:p>
          <a:pPr eaLnBrk="1" fontAlgn="auto" latinLnBrk="0" hangingPunct="1"/>
          <a:r>
            <a:rPr lang="sv-SE" sz="1100" baseline="0">
              <a:solidFill>
                <a:schemeClr val="tx1"/>
              </a:solidFill>
              <a:effectLst/>
              <a:latin typeface="Cambria" panose="02040503050406030204" pitchFamily="18" charset="0"/>
              <a:ea typeface="+mn-ea"/>
              <a:cs typeface="+mn-cs"/>
            </a:rPr>
            <a:t>I kalkylen används driftnettot från driftskalkylen från år 1 (exklusive avskrivningar och ränta, eftersom nuvärdekalkylen redan tar hänsyn till avskrivningar och ränta). Driftkalkylen visar det ekonomiska utfallet år 1 med antagandet att investeringen är i full drift redan år 1, ä</a:t>
          </a:r>
          <a:r>
            <a:rPr lang="sv-SE" sz="1100" b="0" baseline="0">
              <a:solidFill>
                <a:schemeClr val="tx1"/>
              </a:solidFill>
              <a:effectLst/>
              <a:latin typeface="Cambria" panose="02040503050406030204" pitchFamily="18" charset="0"/>
              <a:ea typeface="+mn-ea"/>
              <a:cs typeface="+mn-cs"/>
            </a:rPr>
            <a:t>ven om det i praktiken tar längre tid att komma upp i full produktion. </a:t>
          </a:r>
          <a:r>
            <a:rPr lang="sv-SE" sz="1100">
              <a:solidFill>
                <a:schemeClr val="tx1"/>
              </a:solidFill>
              <a:effectLst/>
              <a:latin typeface="Cambria" panose="02040503050406030204" pitchFamily="18" charset="0"/>
              <a:ea typeface="+mn-ea"/>
              <a:cs typeface="+mn-cs"/>
            </a:rPr>
            <a:t>Detta är en förenkling för att inte behöva göra driftskalkyler för alla år under stallets ekonomiska livslängd. Driftskalkylen för år 1 med full drift används i kalkylen som ett uppskattat genomsnitt av alla år under den ekonomiska livslängden. Vid</a:t>
          </a:r>
          <a:r>
            <a:rPr lang="sv-SE" sz="1100" baseline="0">
              <a:solidFill>
                <a:schemeClr val="tx1"/>
              </a:solidFill>
              <a:effectLst/>
              <a:latin typeface="Cambria" panose="02040503050406030204" pitchFamily="18" charset="0"/>
              <a:ea typeface="+mn-ea"/>
              <a:cs typeface="+mn-cs"/>
            </a:rPr>
            <a:t> beräkningen av nuvärdet antas att driftnettot år 1 kommer att följa inflationen under den ekonomiska livslängden. Inflationen uppskattas till 1% per år. </a:t>
          </a:r>
        </a:p>
        <a:p>
          <a:pPr eaLnBrk="1" fontAlgn="auto" latinLnBrk="0" hangingPunct="1"/>
          <a:endParaRPr lang="sv-SE" sz="1100" baseline="0">
            <a:solidFill>
              <a:schemeClr val="tx1"/>
            </a:solidFill>
            <a:effectLst/>
            <a:latin typeface="Cambria" panose="02040503050406030204" pitchFamily="18" charset="0"/>
            <a:ea typeface="+mn-ea"/>
            <a:cs typeface="+mn-cs"/>
          </a:endParaRPr>
        </a:p>
        <a:p>
          <a:pPr eaLnBrk="1" fontAlgn="auto" latinLnBrk="0" hangingPunct="1"/>
          <a:r>
            <a:rPr lang="sv-SE" sz="1100">
              <a:solidFill>
                <a:schemeClr val="tx1"/>
              </a:solidFill>
              <a:effectLst/>
              <a:latin typeface="Cambria" panose="02040503050406030204" pitchFamily="18" charset="0"/>
              <a:ea typeface="+mn-ea"/>
              <a:cs typeface="+mn-cs"/>
            </a:rPr>
            <a:t>Driftskalkylen omfattar de huvudsakliga intäkter och kostnader som kan kopplas till stallet. </a:t>
          </a:r>
        </a:p>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tx1"/>
              </a:solidFill>
              <a:effectLst/>
              <a:latin typeface="Cambria" panose="02040503050406030204" pitchFamily="18" charset="0"/>
              <a:ea typeface="+mn-ea"/>
              <a:cs typeface="+mn-cs"/>
            </a:rPr>
            <a:t>Av förenklingsskäl ingår inte riktigt alla tänkbara kostnader i kalkylen. Vinstmarginalen ska täcka till exempel uppstartskostnader innan stallet är i full drift, administration och andra gemensamma kostnader för företaget samt skatt och vinst. Det innebär att vinstmarginalen i företaget som helhet i praktiken kan skilja sig från vinstmarginalen för stallet. Kalkylen bygger också på att stödnivåerna är oförändrade under stallets ekonomiska livslängd, vilket också är en kalkylmässig förenkling som kan påverkar den verkliga vinstmarginalen. </a:t>
          </a:r>
          <a:endParaRPr lang="sv-SE">
            <a:effectLst/>
            <a:latin typeface="Cambria" panose="02040503050406030204" pitchFamily="18" charset="0"/>
          </a:endParaRPr>
        </a:p>
        <a:p>
          <a:pPr eaLnBrk="1" fontAlgn="auto" latinLnBrk="0" hangingPunct="1"/>
          <a:r>
            <a:rPr lang="sv-SE" sz="1100">
              <a:solidFill>
                <a:schemeClr val="tx1"/>
              </a:solidFill>
              <a:effectLst/>
              <a:latin typeface="Cambria" panose="02040503050406030204" pitchFamily="18" charset="0"/>
              <a:ea typeface="+mn-ea"/>
              <a:cs typeface="+mn-cs"/>
            </a:rPr>
            <a:t> </a:t>
          </a:r>
          <a:endParaRPr lang="sv-SE" sz="1100">
            <a:effectLst/>
            <a:latin typeface="Cambria" panose="02040503050406030204" pitchFamily="18" charset="0"/>
          </a:endParaRPr>
        </a:p>
        <a:p>
          <a:r>
            <a:rPr lang="sv-SE" sz="1100" b="1" baseline="0">
              <a:solidFill>
                <a:schemeClr val="tx1"/>
              </a:solidFill>
              <a:effectLst/>
              <a:latin typeface="Cambria" panose="02040503050406030204" pitchFamily="18" charset="0"/>
              <a:ea typeface="+mn-ea"/>
              <a:cs typeface="+mn-cs"/>
            </a:rPr>
            <a:t>Hur tolkar du nettonuvärdet?</a:t>
          </a:r>
          <a:endParaRPr lang="sv-SE" sz="1100">
            <a:effectLst/>
            <a:latin typeface="Cambria" panose="02040503050406030204" pitchFamily="18" charset="0"/>
          </a:endParaRPr>
        </a:p>
        <a:p>
          <a:r>
            <a:rPr lang="sv-SE" sz="1100" b="0" baseline="0">
              <a:solidFill>
                <a:schemeClr val="tx1"/>
              </a:solidFill>
              <a:effectLst/>
              <a:latin typeface="Cambria" panose="02040503050406030204" pitchFamily="18" charset="0"/>
              <a:ea typeface="+mn-ea"/>
              <a:cs typeface="+mn-cs"/>
            </a:rPr>
            <a:t>Om nettonuvärdet är minst 0 kr så klarar stallkonceptet avkastningskravet på 5% (nominellt). </a:t>
          </a:r>
          <a:endParaRPr lang="sv-SE" sz="1100">
            <a:effectLst/>
            <a:latin typeface="Cambria" panose="02040503050406030204" pitchFamily="18" charset="0"/>
          </a:endParaRPr>
        </a:p>
        <a:p>
          <a:r>
            <a:rPr lang="sv-SE" sz="1100" b="0" baseline="0">
              <a:solidFill>
                <a:schemeClr val="tx1"/>
              </a:solidFill>
              <a:effectLst/>
              <a:latin typeface="Cambria" panose="02040503050406030204" pitchFamily="18" charset="0"/>
              <a:ea typeface="+mn-ea"/>
              <a:cs typeface="+mn-cs"/>
            </a:rPr>
            <a:t>Om nettonuvärdet är större än 0 kr är avkastningen på investeringen större än 5%. </a:t>
          </a:r>
          <a:endParaRPr lang="sv-SE" sz="1100">
            <a:effectLst/>
            <a:latin typeface="Cambria" panose="02040503050406030204" pitchFamily="18" charset="0"/>
          </a:endParaRPr>
        </a:p>
        <a:p>
          <a:r>
            <a:rPr lang="sv-SE" sz="1100" b="0" baseline="0">
              <a:solidFill>
                <a:schemeClr val="tx1"/>
              </a:solidFill>
              <a:effectLst/>
              <a:latin typeface="Cambria" panose="02040503050406030204" pitchFamily="18" charset="0"/>
              <a:ea typeface="+mn-ea"/>
              <a:cs typeface="+mn-cs"/>
            </a:rPr>
            <a:t>Om nettonuvärdet är negativt så klarar inte stallkonceptet avkastningskravet på 5%. </a:t>
          </a:r>
          <a:endParaRPr lang="sv-SE" sz="110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u="sng" baseline="0">
              <a:solidFill>
                <a:schemeClr val="tx1"/>
              </a:solidFill>
              <a:effectLst/>
              <a:latin typeface="Cambria" panose="02040503050406030204" pitchFamily="18" charset="0"/>
              <a:ea typeface="+mn-ea"/>
              <a:cs typeface="+mn-cs"/>
            </a:rPr>
            <a:t>INVESTERINGSUTGIFT</a:t>
          </a: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Lägg</a:t>
          </a:r>
          <a:r>
            <a:rPr lang="sv-SE" sz="1100" b="1" baseline="0">
              <a:solidFill>
                <a:schemeClr val="tx1"/>
              </a:solidFill>
              <a:effectLst/>
              <a:latin typeface="Cambria" panose="02040503050406030204" pitchFamily="18" charset="0"/>
              <a:ea typeface="+mn-ea"/>
              <a:cs typeface="+mn-cs"/>
            </a:rPr>
            <a:t> till poster vid behov</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Om någon kalkylpost saknas går det bra att lägga till rader. Försök att använda befintliga rubriker. I undantagsfall kan du lägga till nya rubriker. Det går bra att dela upp en befintlig kalkylpost i flera poster. </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Kontrollera att alla summeringar/formler blivit rätt om du lägger till rader. </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Om en post inte är aktuell lämnar du raden tom. Ta inte bort raden. Skriv i not varför posten inte är aktuell. </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Not</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Till varje kalkylpost ska du skriva en not. Noterna numreras löpande. Om du lägger till rader får du ändra numreringen på de rader som kommer efter. I noten förklarar du hur du har räknat fram beloppet och volymen. Noterna skriver du i en särskild bilaga som finns i rapportmallen.  </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Enhet</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I kolumnen anger du enheten för volymen av varje kalkylpost, till exempel: </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 st</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 meter</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 m2</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Utgift</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Alla utgifter anges i svenska kronor (SEK) exklusive moms. </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Eget arbete &amp; eget material </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Kom ihåg att även räkna med eventuellt eget arbete och eget material i den totala investeringsutgiften. Eget arbete ska värderas till minst 220 kr per timme. Eget material värderas till den utgift som hade betalats om materialet istället köps in. </a:t>
          </a:r>
        </a:p>
        <a:p>
          <a:pPr marL="0" marR="0" indent="0" defTabSz="914400" eaLnBrk="1" fontAlgn="auto" latinLnBrk="0" hangingPunct="1">
            <a:lnSpc>
              <a:spcPct val="100000"/>
            </a:lnSpc>
            <a:spcBef>
              <a:spcPts val="0"/>
            </a:spcBef>
            <a:spcAft>
              <a:spcPts val="0"/>
            </a:spcAft>
            <a:buClrTx/>
            <a:buSzTx/>
            <a:buFontTx/>
            <a:buNone/>
            <a:tabLst/>
            <a:defRPr/>
          </a:pPr>
          <a:endParaRPr lang="sv-SE" sz="1100" b="1"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Inredning, utrustning &amp; maskiner</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Precisera vilken inredning, utrustning och maskiner som ska finnas i stallet. </a:t>
          </a: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tx1"/>
              </a:solidFill>
              <a:effectLst/>
              <a:latin typeface="Cambria" panose="02040503050406030204" pitchFamily="18" charset="0"/>
              <a:ea typeface="+mn-ea"/>
              <a:cs typeface="+mn-cs"/>
            </a:rPr>
            <a:t>Investeringsutgift för traktor, lastmaskin eller liknande mobil maskin som både används i stallet och för andra ändamål ska ingå i kalkylerna, men endast med den andel som de används i stallet. Maskiner som endast används för driften av stallet ska ingå i sin helhet (till exempel fodermaskiner och strömaskiner). </a:t>
          </a:r>
        </a:p>
        <a:p>
          <a:pPr marL="0" marR="0" indent="0" defTabSz="914400" eaLnBrk="1" fontAlgn="auto" latinLnBrk="0" hangingPunct="1">
            <a:lnSpc>
              <a:spcPct val="100000"/>
            </a:lnSpc>
            <a:spcBef>
              <a:spcPts val="0"/>
            </a:spcBef>
            <a:spcAft>
              <a:spcPts val="0"/>
            </a:spcAft>
            <a:buClrTx/>
            <a:buSzTx/>
            <a:buFontTx/>
            <a:buNone/>
            <a:tabLst/>
            <a:defRPr/>
          </a:pPr>
          <a:endParaRPr lang="sv-SE" sz="1100" b="1"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Ränta</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Här anger du räntan som uppstår under byggtiden. Du ska räkna med 5 % ränta per år på de belopp som ska betalas innan stallet är färdigt att börja användas. Gör en översiktlig sammanställning av när i tiden olika belopp av investeringsutgiften beräknas behöva betalas och beräkna räntan utifrån sammanställningen. Redovisa beräkningen i noten. </a:t>
          </a:r>
        </a:p>
        <a:p>
          <a:pPr marL="0" marR="0" indent="0" defTabSz="914400" eaLnBrk="1" fontAlgn="auto" latinLnBrk="0" hangingPunct="1">
            <a:lnSpc>
              <a:spcPct val="100000"/>
            </a:lnSpc>
            <a:spcBef>
              <a:spcPts val="0"/>
            </a:spcBef>
            <a:spcAft>
              <a:spcPts val="0"/>
            </a:spcAft>
            <a:buClrTx/>
            <a:buSzTx/>
            <a:buFontTx/>
            <a:buNone/>
            <a:tabLst/>
            <a:defRPr/>
          </a:pPr>
          <a:endParaRPr lang="sv-SE" sz="1100" b="1"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Investeringsstöd</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Stödet beräknas enligt schablon till 40% av investeringsutgiften, dock högst 1 200 000 kr.</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Investeringsutgift per djurplats</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Maximal investeringsutgift (efter avräknat investeringsstöd enligt schablon) framgår av uppdragsspecifikationen och är: </a:t>
          </a:r>
        </a:p>
        <a:p>
          <a:pPr lvl="0" hangingPunct="0"/>
          <a:r>
            <a:rPr lang="sv-SE" sz="1100">
              <a:solidFill>
                <a:schemeClr val="tx1"/>
              </a:solidFill>
              <a:effectLst/>
              <a:latin typeface="Cambria" panose="02040503050406030204" pitchFamily="18" charset="0"/>
              <a:ea typeface="+mn-ea"/>
              <a:cs typeface="+mn-cs"/>
            </a:rPr>
            <a:t>- 40 000 kr per suggplats</a:t>
          </a:r>
        </a:p>
        <a:p>
          <a:pPr lvl="0" hangingPunct="0"/>
          <a:r>
            <a:rPr lang="sv-SE" sz="1100">
              <a:solidFill>
                <a:schemeClr val="tx1"/>
              </a:solidFill>
              <a:effectLst/>
              <a:latin typeface="Cambria" panose="02040503050406030204" pitchFamily="18" charset="0"/>
              <a:ea typeface="+mn-ea"/>
              <a:cs typeface="+mn-cs"/>
            </a:rPr>
            <a:t>- 5 000 kr per slaktgrisplats</a:t>
          </a:r>
        </a:p>
        <a:p>
          <a:pPr lvl="0" hangingPunct="0"/>
          <a:r>
            <a:rPr lang="sv-SE" sz="1100">
              <a:solidFill>
                <a:schemeClr val="tx1"/>
              </a:solidFill>
              <a:effectLst/>
              <a:latin typeface="Cambria" panose="02040503050406030204" pitchFamily="18" charset="0"/>
              <a:ea typeface="+mn-ea"/>
              <a:cs typeface="+mn-cs"/>
            </a:rPr>
            <a:t>- 50 000 kr per koplats (inkl. sinkor &amp; kalvar upp till 3 mån)</a:t>
          </a:r>
        </a:p>
        <a:p>
          <a:pPr lvl="0" hangingPunct="0"/>
          <a:r>
            <a:rPr lang="sv-SE" sz="1100">
              <a:solidFill>
                <a:schemeClr val="tx1"/>
              </a:solidFill>
              <a:effectLst/>
              <a:latin typeface="Cambria" panose="02040503050406030204" pitchFamily="18" charset="0"/>
              <a:ea typeface="+mn-ea"/>
              <a:cs typeface="+mn-cs"/>
            </a:rPr>
            <a:t>- 3 000 kr per tacka</a:t>
          </a:r>
        </a:p>
        <a:p>
          <a:pPr lvl="0" hangingPunct="0"/>
          <a:r>
            <a:rPr lang="sv-SE" sz="1100">
              <a:solidFill>
                <a:schemeClr val="tx1"/>
              </a:solidFill>
              <a:effectLst/>
              <a:latin typeface="Cambria" panose="02040503050406030204" pitchFamily="18" charset="0"/>
              <a:ea typeface="+mn-ea"/>
              <a:cs typeface="+mn-cs"/>
            </a:rPr>
            <a:t>- 20 000 kr per dikoplats </a:t>
          </a:r>
        </a:p>
        <a:p>
          <a:pPr lvl="0" hangingPunct="0"/>
          <a:r>
            <a:rPr lang="sv-SE" sz="1100">
              <a:solidFill>
                <a:schemeClr val="tx1"/>
              </a:solidFill>
              <a:effectLst/>
              <a:latin typeface="Cambria" panose="02040503050406030204" pitchFamily="18" charset="0"/>
              <a:ea typeface="+mn-ea"/>
              <a:cs typeface="+mn-cs"/>
            </a:rPr>
            <a:t>- 25 000 kr per slaktungnötplats  </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Utrymmen för visning</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Ange belopp för utrymmen som används särskilt för detta ändamål. Detta belopp ingår inte vid bedömning av investeringsutgift per djurplats eller vid beräkning av räntor och avskrivningar i driftskalkyl eller investeringskalkyl. Investeringsutgiften </a:t>
          </a:r>
          <a:r>
            <a:rPr lang="sv-SE" sz="1100" b="1" i="1" baseline="0">
              <a:solidFill>
                <a:schemeClr val="tx1"/>
              </a:solidFill>
              <a:effectLst/>
              <a:latin typeface="Cambria" panose="02040503050406030204" pitchFamily="18" charset="0"/>
              <a:ea typeface="+mn-ea"/>
              <a:cs typeface="+mn-cs"/>
            </a:rPr>
            <a:t>bör</a:t>
          </a:r>
          <a:r>
            <a:rPr lang="sv-SE" sz="1100" b="0" baseline="0">
              <a:solidFill>
                <a:schemeClr val="tx1"/>
              </a:solidFill>
              <a:effectLst/>
              <a:latin typeface="Cambria" panose="02040503050406030204" pitchFamily="18" charset="0"/>
              <a:ea typeface="+mn-ea"/>
              <a:cs typeface="+mn-cs"/>
            </a:rPr>
            <a:t> inte vara högre än 200 000 kr. </a:t>
          </a:r>
        </a:p>
        <a:p>
          <a:pPr marL="0" marR="0" indent="0" defTabSz="914400" eaLnBrk="1" fontAlgn="auto" latinLnBrk="0" hangingPunct="1">
            <a:lnSpc>
              <a:spcPct val="100000"/>
            </a:lnSpc>
            <a:spcBef>
              <a:spcPts val="0"/>
            </a:spcBef>
            <a:spcAft>
              <a:spcPts val="0"/>
            </a:spcAft>
            <a:buClrTx/>
            <a:buSzTx/>
            <a:buFontTx/>
            <a:buNone/>
            <a:tabLst/>
            <a:defRPr/>
          </a:pPr>
          <a:endParaRPr lang="sv-SE" sz="1100">
            <a:effectLst/>
            <a:latin typeface="Cambria" panose="02040503050406030204" pitchFamily="18" charset="0"/>
          </a:endParaRPr>
        </a:p>
      </xdr:txBody>
    </xdr:sp>
    <xdr:clientData/>
  </xdr:oneCellAnchor>
  <xdr:oneCellAnchor>
    <xdr:from>
      <xdr:col>3</xdr:col>
      <xdr:colOff>552450</xdr:colOff>
      <xdr:row>2</xdr:row>
      <xdr:rowOff>175260</xdr:rowOff>
    </xdr:from>
    <xdr:ext cx="2381249" cy="1257300"/>
    <xdr:sp macro="" textlink="">
      <xdr:nvSpPr>
        <xdr:cNvPr id="3" name="textruta 2"/>
        <xdr:cNvSpPr txBox="1"/>
      </xdr:nvSpPr>
      <xdr:spPr>
        <a:xfrm>
          <a:off x="5139690" y="746760"/>
          <a:ext cx="2381249" cy="1257300"/>
        </a:xfrm>
        <a:prstGeom prst="rect">
          <a:avLst/>
        </a:prstGeom>
        <a:solidFill>
          <a:srgbClr val="FFFF00"/>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sv-SE" sz="1600" b="1">
              <a:solidFill>
                <a:schemeClr val="tx1"/>
              </a:solidFill>
              <a:effectLst/>
              <a:latin typeface="Cambria" panose="02040503050406030204" pitchFamily="18" charset="0"/>
              <a:ea typeface="+mn-ea"/>
              <a:cs typeface="+mn-cs"/>
            </a:rPr>
            <a:t>Mer information</a:t>
          </a:r>
        </a:p>
        <a:p>
          <a:pPr eaLnBrk="1" fontAlgn="auto" latinLnBrk="0" hangingPunct="1"/>
          <a:endParaRPr lang="sv-SE" sz="900" b="1">
            <a:solidFill>
              <a:schemeClr val="tx1"/>
            </a:solidFill>
            <a:effectLst/>
            <a:latin typeface="Cambria" panose="02040503050406030204" pitchFamily="18" charset="0"/>
            <a:ea typeface="+mn-ea"/>
            <a:cs typeface="+mn-cs"/>
          </a:endParaRPr>
        </a:p>
        <a:p>
          <a:pPr eaLnBrk="1" fontAlgn="auto" latinLnBrk="0" hangingPunct="1"/>
          <a:r>
            <a:rPr lang="sv-SE" sz="1100">
              <a:solidFill>
                <a:schemeClr val="tx1"/>
              </a:solidFill>
              <a:effectLst/>
              <a:latin typeface="Cambria" panose="02040503050406030204" pitchFamily="18" charset="0"/>
              <a:ea typeface="+mn-ea"/>
              <a:cs typeface="+mn-cs"/>
            </a:rPr>
            <a:t>I rapporten som beskriver</a:t>
          </a:r>
          <a:r>
            <a:rPr lang="sv-SE" sz="1100" baseline="0">
              <a:solidFill>
                <a:schemeClr val="tx1"/>
              </a:solidFill>
              <a:effectLst/>
              <a:latin typeface="Cambria" panose="02040503050406030204" pitchFamily="18" charset="0"/>
              <a:ea typeface="+mn-ea"/>
              <a:cs typeface="+mn-cs"/>
            </a:rPr>
            <a:t> stallet finns noter till posterna i kalkylen. Där finns mer information om vad som ingår i varje post. </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9</xdr:col>
      <xdr:colOff>0</xdr:colOff>
      <xdr:row>1</xdr:row>
      <xdr:rowOff>0</xdr:rowOff>
    </xdr:from>
    <xdr:ext cx="7267575" cy="17783175"/>
    <xdr:sp macro="" textlink="">
      <xdr:nvSpPr>
        <xdr:cNvPr id="3" name="textruta 2"/>
        <xdr:cNvSpPr txBox="1"/>
      </xdr:nvSpPr>
      <xdr:spPr>
        <a:xfrm>
          <a:off x="9020175" y="342900"/>
          <a:ext cx="7267575" cy="17783175"/>
        </a:xfrm>
        <a:prstGeom prst="rect">
          <a:avLst/>
        </a:prstGeom>
        <a:solidFill>
          <a:schemeClr val="accent4">
            <a:lumMod val="40000"/>
            <a:lumOff val="60000"/>
          </a:schemeClr>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sv-SE" sz="1600" b="1">
              <a:solidFill>
                <a:schemeClr val="tx1"/>
              </a:solidFill>
              <a:effectLst/>
              <a:latin typeface="Cambria" panose="02040503050406030204" pitchFamily="18" charset="0"/>
              <a:ea typeface="+mn-ea"/>
              <a:cs typeface="+mn-cs"/>
            </a:rPr>
            <a:t>Anvisningar smågrisar</a:t>
          </a:r>
          <a:endParaRPr lang="sv-SE" sz="160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Vad ska jag räkna med i kalkylen</a:t>
          </a:r>
          <a:r>
            <a:rPr lang="sv-SE" sz="1100" b="1" baseline="0">
              <a:solidFill>
                <a:schemeClr val="tx1"/>
              </a:solidFill>
              <a:effectLst/>
              <a:latin typeface="Cambria" panose="02040503050406030204" pitchFamily="18" charset="0"/>
              <a:ea typeface="+mn-ea"/>
              <a:cs typeface="+mn-cs"/>
            </a:rPr>
            <a:t>?</a:t>
          </a:r>
          <a:endParaRPr lang="sv-SE">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Driftkalkylen ska innehålla alla intäkter och kostnader som stallet medför under 12 månader. </a:t>
          </a:r>
          <a:r>
            <a:rPr lang="sv-SE" sz="1100" smtClean="0">
              <a:solidFill>
                <a:schemeClr val="tx1"/>
              </a:solidFill>
              <a:latin typeface="Cambria" panose="02040503050406030204" pitchFamily="18" charset="0"/>
              <a:ea typeface="+mn-ea"/>
              <a:cs typeface="+mn-cs"/>
            </a:rPr>
            <a:t>Av förenklingsskäl ingår inte riktigt alla tänkbara kostnader i kalkylen. Vinstmarginalen ska täcka till exempel uppstartskostnader innan stallet är i full drift, administration och andra gemensamma kostnader för företaget samt skatt och vinst. Det innebär att vinstmarginalen i företaget som helhet i praktiken kan skilja sig från vinstmarginalen för stallet. Kalkylen bygger också på att stödnivåerna är oförändrade under stallets ekonomiska livslängd, vilket också är en kalkylmässig förenkling som kan påverkar den verkliga vinstmarginalen. </a:t>
          </a:r>
          <a:endParaRPr lang="sv" sz="1100" smtClean="0">
            <a:solidFill>
              <a:schemeClr val="tx1"/>
            </a:solidFill>
            <a:latin typeface="Cambria" panose="02040503050406030204" pitchFamily="18" charset="0"/>
            <a:ea typeface="+mn-ea"/>
            <a:cs typeface="+mn-cs"/>
          </a:endParaRP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a:solidFill>
                <a:schemeClr val="tx1"/>
              </a:solidFill>
              <a:effectLst/>
              <a:latin typeface="Cambria" panose="02040503050406030204" pitchFamily="18" charset="0"/>
              <a:ea typeface="+mn-ea"/>
              <a:cs typeface="+mn-cs"/>
            </a:rPr>
            <a:t>De intäkter och kostnader som tas upp i kalkylen för konceptet ska baseras på utfallet de 2–3 senaste åren i verksamheten som bedrivs av den jordbrukare som igår i utvecklingsgruppen, om inget annat framgår av anvisningarna i kalkylmallen. Om det finns skäl får andra värden användas. Det innebär till exempel att erfarenheter av nivåerna för foderpriser de senaste åren bör vara utgångspunkten i bedömningen av foderpriset i kalkylen. Om till exempel inköpta volymer ökar och det är rimligt att räkna med ett bättre pris på grund av större volymer så justeras värdet i kalkylen. Kalkylvärdena kan även justeras när andra förutsättningar förändras jämfört med förutsättningarna för värdena de senaste åren.</a:t>
          </a:r>
          <a:endParaRPr lang="sv-SE" i="1">
            <a:effectLst/>
            <a:latin typeface="Cambria" panose="02040503050406030204" pitchFamily="18" charset="0"/>
          </a:endParaRPr>
        </a:p>
        <a:p>
          <a:pPr eaLnBrk="1" fontAlgn="auto" latinLnBrk="0" hangingPunct="1"/>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Full produktion från</a:t>
          </a:r>
          <a:r>
            <a:rPr lang="sv-SE" sz="1100" b="1" baseline="0">
              <a:solidFill>
                <a:schemeClr val="tx1"/>
              </a:solidFill>
              <a:effectLst/>
              <a:latin typeface="Cambria" panose="02040503050406030204" pitchFamily="18" charset="0"/>
              <a:ea typeface="+mn-ea"/>
              <a:cs typeface="+mn-cs"/>
            </a:rPr>
            <a:t> år 1</a:t>
          </a:r>
          <a:endParaRPr lang="sv-SE">
            <a:effectLst/>
            <a:latin typeface="Cambria" panose="02040503050406030204" pitchFamily="18" charset="0"/>
          </a:endParaRPr>
        </a:p>
        <a:p>
          <a:pPr eaLnBrk="1" fontAlgn="auto" latinLnBrk="0" hangingPunct="1"/>
          <a:r>
            <a:rPr lang="sv-SE" sz="1100" b="0">
              <a:solidFill>
                <a:schemeClr val="tx1"/>
              </a:solidFill>
              <a:effectLst/>
              <a:latin typeface="Cambria" panose="02040503050406030204" pitchFamily="18" charset="0"/>
              <a:ea typeface="+mn-ea"/>
              <a:cs typeface="+mn-cs"/>
            </a:rPr>
            <a:t>Kalkylen</a:t>
          </a:r>
          <a:r>
            <a:rPr lang="sv-SE" sz="1100" b="0" baseline="0">
              <a:solidFill>
                <a:schemeClr val="tx1"/>
              </a:solidFill>
              <a:effectLst/>
              <a:latin typeface="Cambria" panose="02040503050406030204" pitchFamily="18" charset="0"/>
              <a:ea typeface="+mn-ea"/>
              <a:cs typeface="+mn-cs"/>
            </a:rPr>
            <a:t> ska visa driften år 1 med full produktion. Även om det i praktiken tar längre tid att komma upp i full produktion, ska kalkylen göras med full produktion redan från år 1. </a:t>
          </a:r>
          <a:r>
            <a:rPr lang="sv-SE" sz="1100">
              <a:solidFill>
                <a:schemeClr val="tx1"/>
              </a:solidFill>
              <a:effectLst/>
              <a:latin typeface="Cambria" panose="02040503050406030204" pitchFamily="18" charset="0"/>
              <a:ea typeface="+mn-ea"/>
              <a:cs typeface="+mn-cs"/>
            </a:rPr>
            <a:t>Detta är en förenkling för att inte behöva göra driftkalkyler för alla år under stallets ekonomiska livslängd. Driftskalkylen för år 1 med full drift används i kalkylen som ett uppskattat genomsnitt av alla år under den ekonomiska livslängden. </a:t>
          </a:r>
          <a:endParaRPr lang="sv-SE">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ysClr val="windowText" lastClr="000000"/>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ysClr val="windowText" lastClr="000000"/>
              </a:solidFill>
              <a:effectLst/>
              <a:latin typeface="Cambria" panose="02040503050406030204" pitchFamily="18" charset="0"/>
              <a:ea typeface="+mn-ea"/>
              <a:cs typeface="+mn-cs"/>
            </a:rPr>
            <a:t>Får jag</a:t>
          </a:r>
          <a:r>
            <a:rPr lang="sv-SE" sz="1100" b="1" baseline="0">
              <a:solidFill>
                <a:sysClr val="windowText" lastClr="000000"/>
              </a:solidFill>
              <a:effectLst/>
              <a:latin typeface="Cambria" panose="02040503050406030204" pitchFamily="18" charset="0"/>
              <a:ea typeface="+mn-ea"/>
              <a:cs typeface="+mn-cs"/>
            </a:rPr>
            <a:t> ändra värden? </a:t>
          </a:r>
          <a:endParaRPr lang="sv-SE" sz="1100" b="1">
            <a:solidFill>
              <a:sysClr val="windowText" lastClr="000000"/>
            </a:solidFill>
            <a:effectLst/>
            <a:latin typeface="Cambria" panose="020405030504060302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0">
              <a:solidFill>
                <a:schemeClr val="tx1"/>
              </a:solidFill>
              <a:effectLst/>
              <a:latin typeface="Cambria" panose="02040503050406030204" pitchFamily="18" charset="0"/>
              <a:ea typeface="+mn-ea"/>
              <a:cs typeface="+mn-cs"/>
            </a:rPr>
            <a:t>Du</a:t>
          </a:r>
          <a:r>
            <a:rPr lang="sv-SE" sz="1100" b="0" baseline="0">
              <a:solidFill>
                <a:schemeClr val="tx1"/>
              </a:solidFill>
              <a:effectLst/>
              <a:latin typeface="Cambria" panose="02040503050406030204" pitchFamily="18" charset="0"/>
              <a:ea typeface="+mn-ea"/>
              <a:cs typeface="+mn-cs"/>
            </a:rPr>
            <a:t> får ändra alla värden och enheter i kalkylen </a:t>
          </a:r>
          <a:r>
            <a:rPr lang="sv-SE" sz="1100" b="0" u="sng" baseline="0">
              <a:solidFill>
                <a:schemeClr val="tx1"/>
              </a:solidFill>
              <a:effectLst/>
              <a:latin typeface="Cambria" panose="02040503050406030204" pitchFamily="18" charset="0"/>
              <a:ea typeface="+mn-ea"/>
              <a:cs typeface="+mn-cs"/>
            </a:rPr>
            <a:t>utom</a:t>
          </a:r>
          <a:r>
            <a:rPr lang="sv-SE" sz="1100" b="0" baseline="0">
              <a:solidFill>
                <a:schemeClr val="tx1"/>
              </a:solidFill>
              <a:effectLst/>
              <a:latin typeface="Cambria" panose="02040503050406030204" pitchFamily="18" charset="0"/>
              <a:ea typeface="+mn-ea"/>
              <a:cs typeface="+mn-cs"/>
            </a:rPr>
            <a:t> de rutor som är gulmarkerade. </a:t>
          </a:r>
          <a:endParaRPr lang="sv-SE">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Automatiska</a:t>
          </a:r>
          <a:r>
            <a:rPr lang="sv-SE" sz="1100" b="1" baseline="0">
              <a:solidFill>
                <a:schemeClr val="tx1"/>
              </a:solidFill>
              <a:effectLst/>
              <a:latin typeface="Cambria" panose="02040503050406030204" pitchFamily="18" charset="0"/>
              <a:ea typeface="+mn-ea"/>
              <a:cs typeface="+mn-cs"/>
            </a:rPr>
            <a:t> beräkningar</a:t>
          </a:r>
          <a:endParaRPr lang="sv-SE" sz="1100">
            <a:effectLst/>
            <a:latin typeface="Cambria" panose="02040503050406030204" pitchFamily="18" charset="0"/>
          </a:endParaRPr>
        </a:p>
        <a:p>
          <a:r>
            <a:rPr lang="sv-SE" sz="1100" b="0">
              <a:solidFill>
                <a:schemeClr val="tx1"/>
              </a:solidFill>
              <a:effectLst/>
              <a:latin typeface="Cambria" panose="02040503050406030204" pitchFamily="18" charset="0"/>
              <a:ea typeface="+mn-ea"/>
              <a:cs typeface="+mn-cs"/>
            </a:rPr>
            <a:t>Celler</a:t>
          </a:r>
          <a:r>
            <a:rPr lang="sv-SE" sz="1100" b="0" baseline="0">
              <a:solidFill>
                <a:schemeClr val="tx1"/>
              </a:solidFill>
              <a:effectLst/>
              <a:latin typeface="Cambria" panose="02040503050406030204" pitchFamily="18" charset="0"/>
              <a:ea typeface="+mn-ea"/>
              <a:cs typeface="+mn-cs"/>
            </a:rPr>
            <a:t> som är markerade med ljusgrön bakgrund beräknas automatiskt. </a:t>
          </a:r>
          <a:endParaRPr lang="sv-SE" sz="110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Lägg</a:t>
          </a:r>
          <a:r>
            <a:rPr lang="sv-SE" sz="1100" b="1" baseline="0">
              <a:solidFill>
                <a:schemeClr val="tx1"/>
              </a:solidFill>
              <a:effectLst/>
              <a:latin typeface="Cambria" panose="02040503050406030204" pitchFamily="18" charset="0"/>
              <a:ea typeface="+mn-ea"/>
              <a:cs typeface="+mn-cs"/>
            </a:rPr>
            <a:t> till poster vid behov</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Försök att använda befintliga rubriker. Om någon kalkylpost saknas går det bra att lägga till rader. I undantagsfall kan du lägga till nya rubriker. Det går bra att dela upp en befintlig kalkylpost i flera poster. </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Kontrollera att alla summeringar/formler blivit rätt om du lägger till rader. </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Om en post inte är aktuell lämnar du raden tom. Ta inte bort raden. Skriv not varför posten inte är aktuell. </a:t>
          </a:r>
          <a:endParaRPr lang="sv-SE" sz="1100">
            <a:effectLst/>
            <a:latin typeface="Cambria" panose="02040503050406030204" pitchFamily="18" charset="0"/>
          </a:endParaRPr>
        </a:p>
        <a:p>
          <a:pPr eaLnBrk="1" fontAlgn="auto" latinLnBrk="0" hangingPunct="1"/>
          <a:endParaRPr lang="sv-SE" sz="1100" b="1"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Not</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Till varje kalkylpost ska du skriva en separat not. Noterna numreras löpande. Om du lägger till rader får du ändra numreringen på de rader som kommer efter. I noten förklarar du hur du har räknat fram beloppet och volymen. Noterna skriver du i en särskild bilaga som ska lämnas i rapporten.  </a:t>
          </a:r>
        </a:p>
        <a:p>
          <a:pPr eaLnBrk="1" fontAlgn="auto" latinLnBrk="0" hangingPunct="1"/>
          <a:endParaRPr lang="sv-SE" sz="1100" b="1"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Grundförutsättningar</a:t>
          </a:r>
        </a:p>
        <a:p>
          <a:pPr eaLnBrk="1" fontAlgn="auto" latinLnBrk="0" hangingPunct="1"/>
          <a:r>
            <a:rPr lang="sv-SE" sz="1100" b="0">
              <a:solidFill>
                <a:schemeClr val="tx1"/>
              </a:solidFill>
              <a:effectLst/>
              <a:latin typeface="Cambria" panose="02040503050406030204" pitchFamily="18" charset="0"/>
              <a:ea typeface="+mn-ea"/>
              <a:cs typeface="+mn-cs"/>
            </a:rPr>
            <a:t>Antal djurplatser - </a:t>
          </a:r>
          <a:r>
            <a:rPr lang="sv-SE" sz="1100" b="0" baseline="0">
              <a:solidFill>
                <a:schemeClr val="tx1"/>
              </a:solidFill>
              <a:effectLst/>
              <a:latin typeface="Cambria" panose="02040503050406030204" pitchFamily="18" charset="0"/>
              <a:ea typeface="+mn-ea"/>
              <a:cs typeface="+mn-cs"/>
            </a:rPr>
            <a:t>Uppgiften hämtas från fliken "Investeringskalkyl". </a:t>
          </a:r>
        </a:p>
        <a:p>
          <a:pPr eaLnBrk="1" fontAlgn="auto" latinLnBrk="0" hangingPunct="1"/>
          <a:r>
            <a:rPr lang="sv-SE" sz="1100" b="0">
              <a:solidFill>
                <a:schemeClr val="tx1"/>
              </a:solidFill>
              <a:effectLst/>
              <a:latin typeface="Cambria" panose="02040503050406030204" pitchFamily="18" charset="0"/>
              <a:ea typeface="+mn-ea"/>
              <a:cs typeface="+mn-cs"/>
            </a:rPr>
            <a:t>Antal</a:t>
          </a:r>
          <a:r>
            <a:rPr lang="sv-SE" sz="1100" b="0" baseline="0">
              <a:solidFill>
                <a:schemeClr val="tx1"/>
              </a:solidFill>
              <a:effectLst/>
              <a:latin typeface="Cambria" panose="02040503050406030204" pitchFamily="18" charset="0"/>
              <a:ea typeface="+mn-ea"/>
              <a:cs typeface="+mn-cs"/>
            </a:rPr>
            <a:t> smågrisar - </a:t>
          </a:r>
          <a:r>
            <a:rPr lang="sv-SE" sz="1100" b="0">
              <a:solidFill>
                <a:schemeClr val="tx1"/>
              </a:solidFill>
              <a:effectLst/>
              <a:latin typeface="Cambria" panose="02040503050406030204" pitchFamily="18" charset="0"/>
              <a:ea typeface="+mn-ea"/>
              <a:cs typeface="+mn-cs"/>
            </a:rPr>
            <a:t>Ange antal </a:t>
          </a:r>
          <a:r>
            <a:rPr lang="sv-SE" sz="1100" b="0" baseline="0">
              <a:solidFill>
                <a:schemeClr val="tx1"/>
              </a:solidFill>
              <a:effectLst/>
              <a:latin typeface="Cambria" panose="02040503050406030204" pitchFamily="18" charset="0"/>
              <a:ea typeface="+mn-ea"/>
              <a:cs typeface="+mn-cs"/>
            </a:rPr>
            <a:t>smågrisar per sugga och år. </a:t>
          </a: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Belopp &amp; valuta</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Alla utgifter anges i svenska kronor (SEK) exklusive moms. </a:t>
          </a: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INTÄKTER</a:t>
          </a:r>
        </a:p>
        <a:p>
          <a:pPr eaLnBrk="1" fontAlgn="auto" latinLnBrk="0" hangingPunct="1"/>
          <a:r>
            <a:rPr lang="sv-SE" sz="1100" b="1" baseline="0">
              <a:solidFill>
                <a:schemeClr val="tx1"/>
              </a:solidFill>
              <a:effectLst/>
              <a:latin typeface="Cambria" panose="02040503050406030204" pitchFamily="18" charset="0"/>
              <a:ea typeface="+mn-ea"/>
              <a:cs typeface="+mn-cs"/>
            </a:rPr>
            <a:t>Smågrisar</a:t>
          </a:r>
        </a:p>
        <a:p>
          <a:pPr eaLnBrk="1" fontAlgn="auto" latinLnBrk="0" hangingPunct="1"/>
          <a:r>
            <a:rPr lang="sv-SE" sz="1100" b="0" baseline="0">
              <a:solidFill>
                <a:schemeClr val="tx1"/>
              </a:solidFill>
              <a:effectLst/>
              <a:latin typeface="Cambria" panose="02040503050406030204" pitchFamily="18" charset="0"/>
              <a:ea typeface="+mn-ea"/>
              <a:cs typeface="+mn-cs"/>
            </a:rPr>
            <a:t>Antalet smågrisar per sugga hämtas från rutan "Grundförutsättningar" ovan. </a:t>
          </a: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Utslagssugga kött &amp; kassaktion</a:t>
          </a:r>
        </a:p>
        <a:p>
          <a:pPr eaLnBrk="1" fontAlgn="auto" latinLnBrk="0" hangingPunct="1"/>
          <a:r>
            <a:rPr lang="sv-SE" sz="1100" b="0" baseline="0">
              <a:solidFill>
                <a:schemeClr val="tx1"/>
              </a:solidFill>
              <a:effectLst/>
              <a:latin typeface="Cambria" panose="02040503050406030204" pitchFamily="18" charset="0"/>
              <a:ea typeface="+mn-ea"/>
              <a:cs typeface="+mn-cs"/>
            </a:rPr>
            <a:t>Kvantiten anges som ett decimaltal. T.ex. om 50 % av suggorna slås ut på årsbasis, ska summan av kvantiteten som går till kött och kassaktion vara 0,50. </a:t>
          </a: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Stöd</a:t>
          </a:r>
          <a:endParaRPr lang="sv-SE">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Stöden beräknas till aktuell nivå för år 2017. (Detta är en förenkling i kalkylen, även om stödnivåerna förväntas förändras kommande år. Djuren ger upphov till vissa stöd beroende på var i landet produktionen finns. Räkna med de stöd som djuren är en direkt förutsättning för. </a:t>
          </a:r>
        </a:p>
        <a:p>
          <a:pPr eaLnBrk="1" fontAlgn="auto" latinLnBrk="0" hangingPunct="1"/>
          <a:endParaRPr lang="sv-SE" sz="1100" b="0" i="0" baseline="0">
            <a:solidFill>
              <a:schemeClr val="tx1"/>
            </a:solidFill>
            <a:effectLst/>
            <a:latin typeface="Cambria" panose="02040503050406030204" pitchFamily="18" charset="0"/>
            <a:ea typeface="+mn-ea"/>
            <a:cs typeface="+mn-cs"/>
          </a:endParaRPr>
        </a:p>
        <a:p>
          <a:pPr eaLnBrk="1" fontAlgn="auto" latinLnBrk="0" hangingPunct="1"/>
          <a:r>
            <a:rPr lang="sv-SE" sz="1100" b="0" i="0" baseline="0">
              <a:solidFill>
                <a:schemeClr val="tx1"/>
              </a:solidFill>
              <a:effectLst/>
              <a:latin typeface="Cambria" panose="02040503050406030204" pitchFamily="18" charset="0"/>
              <a:ea typeface="+mn-ea"/>
              <a:cs typeface="+mn-cs"/>
            </a:rPr>
            <a:t>Observera att investeringsstödet beaktas i fliken invetsreringskalkyl. </a:t>
          </a: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Gödsel </a:t>
          </a:r>
        </a:p>
        <a:p>
          <a:pPr eaLnBrk="1" fontAlgn="auto" latinLnBrk="0" hangingPunct="1"/>
          <a:r>
            <a:rPr lang="sv-SE" sz="1100" b="0" baseline="0">
              <a:solidFill>
                <a:schemeClr val="tx1"/>
              </a:solidFill>
              <a:effectLst/>
              <a:latin typeface="Cambria" panose="02040503050406030204" pitchFamily="18" charset="0"/>
              <a:ea typeface="+mn-ea"/>
              <a:cs typeface="+mn-cs"/>
            </a:rPr>
            <a:t>Ange nettovärdet efter kostnader för spridning. </a:t>
          </a:r>
          <a:endParaRPr lang="sv-SE" sz="1100" b="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KOSTNADER</a:t>
          </a: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Byggnader,</a:t>
          </a:r>
          <a:r>
            <a:rPr lang="sv-SE" sz="1100" b="1" baseline="0">
              <a:solidFill>
                <a:schemeClr val="tx1"/>
              </a:solidFill>
              <a:effectLst/>
              <a:latin typeface="Cambria" panose="02040503050406030204" pitchFamily="18" charset="0"/>
              <a:ea typeface="+mn-ea"/>
              <a:cs typeface="+mn-cs"/>
            </a:rPr>
            <a:t> underhåll</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Underhållet anges antingen som en procentsats av den totala investeringsutgiften per djurplats, eller som en summa per år och djurplats. Ange det uppskattade genomsnittliga underhållet per år under investeringens </a:t>
          </a:r>
          <a:r>
            <a:rPr lang="sv-SE" sz="1100" b="1" i="1" baseline="0">
              <a:solidFill>
                <a:schemeClr val="tx1"/>
              </a:solidFill>
              <a:effectLst/>
              <a:latin typeface="Cambria" panose="02040503050406030204" pitchFamily="18" charset="0"/>
              <a:ea typeface="+mn-ea"/>
              <a:cs typeface="+mn-cs"/>
            </a:rPr>
            <a:t>ekonomiska</a:t>
          </a:r>
          <a:r>
            <a:rPr lang="sv-SE" sz="1100" b="0" baseline="0">
              <a:solidFill>
                <a:schemeClr val="tx1"/>
              </a:solidFill>
              <a:effectLst/>
              <a:latin typeface="Cambria" panose="02040503050406030204" pitchFamily="18" charset="0"/>
              <a:ea typeface="+mn-ea"/>
              <a:cs typeface="+mn-cs"/>
            </a:rPr>
            <a:t> livslängd, med hänsyn till konstruktion, material och byggnadsteknik. Kom ihåg att räkna med underhåll och utbyte av utslitna byggnadsdelar och inventarier som sker vid enstaka tillfällen. </a:t>
          </a:r>
          <a:endParaRPr lang="sv-SE" sz="1100" b="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Byggnader,</a:t>
          </a:r>
          <a:r>
            <a:rPr lang="sv-SE" sz="1100" b="1" baseline="0">
              <a:solidFill>
                <a:schemeClr val="tx1"/>
              </a:solidFill>
              <a:effectLst/>
              <a:latin typeface="Cambria" panose="02040503050406030204" pitchFamily="18" charset="0"/>
              <a:ea typeface="+mn-ea"/>
              <a:cs typeface="+mn-cs"/>
            </a:rPr>
            <a:t> avskrivningar + ränta</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Denna post beräknas automatiskt när du har fyllt i fliken "Investeringskalkyl". Avskrivningar och ränta beräknas som en annuitet, det vill säga summan av avskrivningar och ränta är lika stor varje år under den ekonomiska livslängden (nominellt konstanta). Räntan är 5 % och räknas på hela investeringsbeloppet, oavsett hur investeringen finansieras. </a:t>
          </a: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Ränta</a:t>
          </a:r>
          <a:r>
            <a:rPr lang="sv-SE" sz="1100" b="1" baseline="0">
              <a:solidFill>
                <a:schemeClr val="tx1"/>
              </a:solidFill>
              <a:effectLst/>
              <a:latin typeface="Cambria" panose="02040503050406030204" pitchFamily="18" charset="0"/>
              <a:ea typeface="+mn-ea"/>
              <a:cs typeface="+mn-cs"/>
            </a:rPr>
            <a:t> rörelsekapital</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Bindningen av rörelsekapital räknas med en schablon på alla kostnadsposter i kalkylen (förutom de poster som är med i beräkningen av djurkapital). Schablonen innebär att kapitalbindningen sker successivt i jämn takt för alla kostnadser och att de i genomsnitt betalas i mitten av året. Intäkterna antas i genomsnitt betalas vid årets slut. Räntan är 5 %. </a:t>
          </a:r>
          <a:endParaRPr lang="sv-SE">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Arbete</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Kom ihåg att räkna med kostnad för försäkringar och utbildning av personal. </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Kom ihåg att även räkna med eget arbete. All arbetsid (inklusive eget arbete värderas till </a:t>
          </a:r>
          <a:r>
            <a:rPr lang="sv-SE" sz="1100" b="0" u="sng" baseline="0">
              <a:solidFill>
                <a:schemeClr val="tx1"/>
              </a:solidFill>
              <a:effectLst/>
              <a:latin typeface="Cambria" panose="02040503050406030204" pitchFamily="18" charset="0"/>
              <a:ea typeface="+mn-ea"/>
              <a:cs typeface="+mn-cs"/>
            </a:rPr>
            <a:t>minst</a:t>
          </a:r>
          <a:r>
            <a:rPr lang="sv-SE" sz="1100" b="0" baseline="0">
              <a:solidFill>
                <a:schemeClr val="tx1"/>
              </a:solidFill>
              <a:effectLst/>
              <a:latin typeface="Cambria" panose="02040503050406030204" pitchFamily="18" charset="0"/>
              <a:ea typeface="+mn-ea"/>
              <a:cs typeface="+mn-cs"/>
            </a:rPr>
            <a:t> 220 kr per timme).</a:t>
          </a:r>
          <a:endParaRPr lang="sv-SE">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Summa kostnader</a:t>
          </a:r>
        </a:p>
        <a:p>
          <a:pPr marL="0" marR="0" indent="0" defTabSz="914400" eaLnBrk="1" fontAlgn="auto" latinLnBrk="0" hangingPunct="1">
            <a:lnSpc>
              <a:spcPct val="100000"/>
            </a:lnSpc>
            <a:spcBef>
              <a:spcPts val="0"/>
            </a:spcBef>
            <a:spcAft>
              <a:spcPts val="0"/>
            </a:spcAft>
            <a:buClrTx/>
            <a:buSzTx/>
            <a:buFontTx/>
            <a:buNone/>
            <a:tabLst/>
            <a:defRPr/>
          </a:pPr>
          <a:r>
            <a:rPr lang="sv-SE" sz="1100" b="0" u="none" baseline="0">
              <a:solidFill>
                <a:schemeClr val="tx1"/>
              </a:solidFill>
              <a:effectLst/>
              <a:latin typeface="Cambria" panose="02040503050406030204" pitchFamily="18" charset="0"/>
              <a:ea typeface="+mn-ea"/>
              <a:cs typeface="+mn-cs"/>
            </a:rPr>
            <a:t>Summa kostnader får inte överstiga 550 kr per smågris </a:t>
          </a:r>
          <a:r>
            <a:rPr lang="sv-SE" sz="1100" b="0" baseline="0">
              <a:solidFill>
                <a:schemeClr val="tx1"/>
              </a:solidFill>
              <a:effectLst/>
              <a:latin typeface="Cambria" panose="02040503050406030204" pitchFamily="18" charset="0"/>
              <a:ea typeface="+mn-ea"/>
              <a:cs typeface="+mn-cs"/>
            </a:rPr>
            <a:t>(mål i Handlingsplan Gris).</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Kontrollera beräkningarna!</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Kontrollera så att alla beräkningar och summeringar är rätt innan du färdigställer kalkylen. </a:t>
          </a:r>
        </a:p>
      </xdr:txBody>
    </xdr:sp>
    <xdr:clientData/>
  </xdr:oneCellAnchor>
  <xdr:oneCellAnchor>
    <xdr:from>
      <xdr:col>4</xdr:col>
      <xdr:colOff>5323</xdr:colOff>
      <xdr:row>1</xdr:row>
      <xdr:rowOff>187418</xdr:rowOff>
    </xdr:from>
    <xdr:ext cx="2381249" cy="1257300"/>
    <xdr:sp macro="" textlink="">
      <xdr:nvSpPr>
        <xdr:cNvPr id="5" name="textruta 4"/>
        <xdr:cNvSpPr txBox="1"/>
      </xdr:nvSpPr>
      <xdr:spPr>
        <a:xfrm>
          <a:off x="4529698" y="530598"/>
          <a:ext cx="2381249" cy="1257300"/>
        </a:xfrm>
        <a:prstGeom prst="rect">
          <a:avLst/>
        </a:prstGeom>
        <a:solidFill>
          <a:srgbClr val="FFFF00"/>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sv-SE" sz="1600" b="1">
              <a:solidFill>
                <a:schemeClr val="tx1"/>
              </a:solidFill>
              <a:effectLst/>
              <a:latin typeface="Cambria" panose="02040503050406030204" pitchFamily="18" charset="0"/>
              <a:ea typeface="+mn-ea"/>
              <a:cs typeface="+mn-cs"/>
            </a:rPr>
            <a:t>Mer information</a:t>
          </a:r>
        </a:p>
        <a:p>
          <a:pPr eaLnBrk="1" fontAlgn="auto" latinLnBrk="0" hangingPunct="1"/>
          <a:endParaRPr lang="sv-SE" sz="900" b="1">
            <a:solidFill>
              <a:schemeClr val="tx1"/>
            </a:solidFill>
            <a:effectLst/>
            <a:latin typeface="Cambria" panose="02040503050406030204" pitchFamily="18" charset="0"/>
            <a:ea typeface="+mn-ea"/>
            <a:cs typeface="+mn-cs"/>
          </a:endParaRPr>
        </a:p>
        <a:p>
          <a:pPr eaLnBrk="1" fontAlgn="auto" latinLnBrk="0" hangingPunct="1"/>
          <a:r>
            <a:rPr lang="sv-SE" sz="1100">
              <a:solidFill>
                <a:schemeClr val="tx1"/>
              </a:solidFill>
              <a:effectLst/>
              <a:latin typeface="Cambria" panose="02040503050406030204" pitchFamily="18" charset="0"/>
              <a:ea typeface="+mn-ea"/>
              <a:cs typeface="+mn-cs"/>
            </a:rPr>
            <a:t>I rapporten som beskriver</a:t>
          </a:r>
          <a:r>
            <a:rPr lang="sv-SE" sz="1100" baseline="0">
              <a:solidFill>
                <a:schemeClr val="tx1"/>
              </a:solidFill>
              <a:effectLst/>
              <a:latin typeface="Cambria" panose="02040503050406030204" pitchFamily="18" charset="0"/>
              <a:ea typeface="+mn-ea"/>
              <a:cs typeface="+mn-cs"/>
            </a:rPr>
            <a:t> stallet finns noter till posterna i kalkylen. Där finns mer information om vad som ingår i varje post. </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spert\AppData\Local\Microsoft\Windows\Temporary%20Internet%20Files\Content.Outlook\2AZPC1XV\Kalkyl%20sm&#229;gris%2020170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Investeringskalkyl"/>
      <sheetName val="Driftkalkyl - Smågrisar"/>
      <sheetName val="Driftkalkyl - Slaktgrisar"/>
      <sheetName val="Blad10"/>
      <sheetName val="Noter"/>
      <sheetName val="ersättningsnivå"/>
      <sheetName val="Blad1"/>
    </sheetNames>
    <sheetDataSet>
      <sheetData sheetId="0"/>
      <sheetData sheetId="1"/>
      <sheetData sheetId="2">
        <row r="18">
          <cell r="B18">
            <v>1</v>
          </cell>
        </row>
        <row r="19">
          <cell r="B19">
            <v>2</v>
          </cell>
        </row>
        <row r="20">
          <cell r="B20">
            <v>3</v>
          </cell>
        </row>
        <row r="21">
          <cell r="B21">
            <v>4</v>
          </cell>
        </row>
        <row r="22">
          <cell r="B22">
            <v>5</v>
          </cell>
        </row>
        <row r="23">
          <cell r="B23">
            <v>6</v>
          </cell>
        </row>
        <row r="24">
          <cell r="B24">
            <v>7</v>
          </cell>
        </row>
        <row r="39">
          <cell r="B39">
            <v>18</v>
          </cell>
        </row>
        <row r="40">
          <cell r="B40">
            <v>19</v>
          </cell>
        </row>
        <row r="41">
          <cell r="B41">
            <v>20</v>
          </cell>
        </row>
      </sheetData>
      <sheetData sheetId="3"/>
      <sheetData sheetId="4">
        <row r="3">
          <cell r="A3" t="str">
            <v>suggor</v>
          </cell>
        </row>
        <row r="4">
          <cell r="A4" t="str">
            <v>slaktgrisar</v>
          </cell>
        </row>
        <row r="5">
          <cell r="A5" t="str">
            <v>mjölkkor</v>
          </cell>
        </row>
        <row r="6">
          <cell r="A6" t="str">
            <v>tackor</v>
          </cell>
        </row>
        <row r="7">
          <cell r="A7" t="str">
            <v>dikor</v>
          </cell>
        </row>
        <row r="8">
          <cell r="A8" t="str">
            <v>slaktungnöt</v>
          </cell>
        </row>
      </sheetData>
      <sheetData sheetId="5"/>
      <sheetData sheetId="6"/>
      <sheetData sheetId="7"/>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N17" sqref="N17"/>
    </sheetView>
  </sheetViews>
  <sheetFormatPr defaultRowHeight="14.4" x14ac:dyDescent="0.3"/>
  <sheetData>
    <row r="1" spans="1:1" ht="27.6" x14ac:dyDescent="0.45">
      <c r="A1" s="2" t="s">
        <v>40</v>
      </c>
    </row>
    <row r="2" spans="1:1" x14ac:dyDescent="0.3">
      <c r="A2" s="1"/>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79"/>
  <sheetViews>
    <sheetView tabSelected="1" workbookViewId="0">
      <selection activeCell="F11" sqref="F11"/>
    </sheetView>
  </sheetViews>
  <sheetFormatPr defaultColWidth="9.109375" defaultRowHeight="13.8" x14ac:dyDescent="0.25"/>
  <cols>
    <col min="1" max="1" width="38.44140625" style="3" customWidth="1"/>
    <col min="2" max="2" width="16.44140625" style="3" bestFit="1" customWidth="1"/>
    <col min="3" max="3" width="12" style="3" customWidth="1"/>
    <col min="4" max="4" width="10.44140625" style="3" customWidth="1"/>
    <col min="5" max="5" width="14" style="3" bestFit="1" customWidth="1"/>
    <col min="6" max="6" width="16.33203125" style="3" bestFit="1" customWidth="1"/>
    <col min="7" max="16384" width="9.109375" style="3"/>
  </cols>
  <sheetData>
    <row r="1" spans="1:7" ht="27.6" x14ac:dyDescent="0.45">
      <c r="A1" s="2" t="s">
        <v>108</v>
      </c>
    </row>
    <row r="2" spans="1:7" ht="17.399999999999999" x14ac:dyDescent="0.3">
      <c r="A2" s="78" t="s">
        <v>145</v>
      </c>
    </row>
    <row r="3" spans="1:7" ht="14.4" thickBot="1" x14ac:dyDescent="0.3">
      <c r="A3" s="4"/>
    </row>
    <row r="4" spans="1:7" x14ac:dyDescent="0.25">
      <c r="A4" s="5" t="s">
        <v>37</v>
      </c>
      <c r="B4" s="6"/>
      <c r="C4" s="7"/>
      <c r="D4" s="8"/>
      <c r="F4" s="9"/>
      <c r="G4" s="9"/>
    </row>
    <row r="5" spans="1:7" x14ac:dyDescent="0.25">
      <c r="A5" s="68" t="s">
        <v>39</v>
      </c>
      <c r="B5" s="69" t="s">
        <v>38</v>
      </c>
      <c r="C5" s="69"/>
      <c r="D5" s="70"/>
      <c r="F5" s="9"/>
      <c r="G5" s="9"/>
    </row>
    <row r="6" spans="1:7" x14ac:dyDescent="0.25">
      <c r="A6" s="91" t="s">
        <v>139</v>
      </c>
      <c r="B6" s="92" t="s">
        <v>142</v>
      </c>
      <c r="C6" s="93"/>
      <c r="D6" s="94"/>
      <c r="E6" s="9"/>
      <c r="F6" s="11"/>
      <c r="G6" s="9"/>
    </row>
    <row r="7" spans="1:7" x14ac:dyDescent="0.25">
      <c r="A7" s="91" t="s">
        <v>140</v>
      </c>
      <c r="B7" s="92" t="s">
        <v>141</v>
      </c>
      <c r="C7" s="93"/>
      <c r="D7" s="94"/>
      <c r="E7" s="9"/>
      <c r="F7" s="11"/>
      <c r="G7" s="9"/>
    </row>
    <row r="8" spans="1:7" x14ac:dyDescent="0.25">
      <c r="A8" s="91" t="s">
        <v>143</v>
      </c>
      <c r="B8" s="92" t="s">
        <v>144</v>
      </c>
      <c r="C8" s="93"/>
      <c r="D8" s="94"/>
      <c r="E8" s="9"/>
      <c r="F8" s="11"/>
      <c r="G8" s="9"/>
    </row>
    <row r="9" spans="1:7" x14ac:dyDescent="0.25">
      <c r="A9" s="91" t="s">
        <v>146</v>
      </c>
      <c r="B9" s="92" t="s">
        <v>147</v>
      </c>
      <c r="C9" s="93"/>
      <c r="D9" s="94"/>
      <c r="E9" s="9"/>
      <c r="F9" s="11"/>
      <c r="G9" s="9"/>
    </row>
    <row r="10" spans="1:7" ht="14.4" thickBot="1" x14ac:dyDescent="0.3">
      <c r="A10" s="95" t="s">
        <v>148</v>
      </c>
      <c r="B10" s="96" t="s">
        <v>149</v>
      </c>
      <c r="C10" s="96"/>
      <c r="D10" s="97"/>
      <c r="E10" s="13"/>
      <c r="F10" s="13"/>
      <c r="G10" s="13"/>
    </row>
    <row r="11" spans="1:7" x14ac:dyDescent="0.25">
      <c r="A11" s="4"/>
    </row>
    <row r="12" spans="1:7" ht="14.4" thickBot="1" x14ac:dyDescent="0.3">
      <c r="A12" s="44"/>
      <c r="B12" s="43"/>
      <c r="C12" s="44"/>
      <c r="D12" s="44"/>
    </row>
    <row r="13" spans="1:7" x14ac:dyDescent="0.25">
      <c r="A13" s="65" t="s">
        <v>114</v>
      </c>
      <c r="B13" s="66" t="s">
        <v>109</v>
      </c>
      <c r="C13" s="67" t="s">
        <v>34</v>
      </c>
      <c r="D13" s="45"/>
    </row>
    <row r="14" spans="1:7" x14ac:dyDescent="0.25">
      <c r="A14" s="49" t="s">
        <v>35</v>
      </c>
      <c r="B14" s="98">
        <v>800</v>
      </c>
      <c r="C14" s="175" t="s">
        <v>41</v>
      </c>
      <c r="D14" s="9" t="s">
        <v>133</v>
      </c>
    </row>
    <row r="15" spans="1:7" x14ac:dyDescent="0.25">
      <c r="A15" s="14" t="s">
        <v>110</v>
      </c>
      <c r="B15" s="99">
        <v>6142</v>
      </c>
      <c r="C15" s="12" t="s">
        <v>1</v>
      </c>
    </row>
    <row r="16" spans="1:7" ht="28.5" customHeight="1" x14ac:dyDescent="0.25">
      <c r="A16" s="10" t="s">
        <v>111</v>
      </c>
      <c r="B16" s="99"/>
      <c r="C16" s="12" t="s">
        <v>1</v>
      </c>
      <c r="D16" s="9"/>
    </row>
    <row r="17" spans="1:6" x14ac:dyDescent="0.25">
      <c r="A17" s="15" t="s">
        <v>112</v>
      </c>
      <c r="B17" s="100"/>
      <c r="C17" s="16" t="s">
        <v>1</v>
      </c>
      <c r="D17" s="9"/>
    </row>
    <row r="18" spans="1:6" ht="14.4" thickBot="1" x14ac:dyDescent="0.3">
      <c r="A18" s="20" t="s">
        <v>0</v>
      </c>
      <c r="B18" s="90">
        <f>SUM(B15:B16)</f>
        <v>6142</v>
      </c>
      <c r="C18" s="55" t="s">
        <v>1</v>
      </c>
      <c r="D18" s="13"/>
      <c r="E18" s="13"/>
      <c r="F18" s="13"/>
    </row>
    <row r="19" spans="1:6" x14ac:dyDescent="0.25">
      <c r="A19" s="65" t="s">
        <v>108</v>
      </c>
      <c r="B19" s="66" t="s">
        <v>109</v>
      </c>
      <c r="C19" s="67" t="s">
        <v>34</v>
      </c>
      <c r="D19" s="45"/>
    </row>
    <row r="20" spans="1:6" ht="27.6" x14ac:dyDescent="0.25">
      <c r="A20" s="49" t="s">
        <v>126</v>
      </c>
      <c r="B20" s="188">
        <f>Investeringskalkyl!F70</f>
        <v>34499900</v>
      </c>
      <c r="C20" s="50" t="s">
        <v>48</v>
      </c>
      <c r="D20" s="45"/>
    </row>
    <row r="21" spans="1:6" x14ac:dyDescent="0.25">
      <c r="A21" s="49" t="s">
        <v>127</v>
      </c>
      <c r="B21" s="189">
        <f>IF(Investeringskalkyl!$C$14="suggor",'Driftkalkyl - Smågrisar'!$B$8)+IF(Investeringskalkyl!$C$14="slaktgrisar",#REF!)+IF(Investeringskalkyl!$C$14="tackor",#REF!)+IF(Investeringskalkyl!$C$14="dikor",#REF!)+IF(Investeringskalkyl!$C$14="slaktungnöt",#REF!)+IF(Investeringskalkyl!$C$14="mjölkkor",#REF!)</f>
        <v>2595483.5737098269</v>
      </c>
      <c r="C21" s="50" t="s">
        <v>89</v>
      </c>
      <c r="D21" s="45"/>
      <c r="E21" s="76"/>
      <c r="F21" s="77"/>
    </row>
    <row r="22" spans="1:6" ht="27.6" x14ac:dyDescent="0.25">
      <c r="A22" s="49" t="s">
        <v>128</v>
      </c>
      <c r="B22" s="189">
        <f>$B$21+(IF(Investeringskalkyl!$C$14="suggor",'Driftkalkyl - Smågrisar'!$H$49)+IF(Investeringskalkyl!$C$14="slaktgrisar",#REF!)+IF(Investeringskalkyl!$C$14="tackor",#REF!)+IF(Investeringskalkyl!$C$14="dikor",#REF!)+IF(Investeringskalkyl!$C$14="slaktungnöt",#REF!)+IF(Investeringskalkyl!$C$14="mjölkkor",#REF!))</f>
        <v>5919282.8619999969</v>
      </c>
      <c r="C22" s="50" t="s">
        <v>89</v>
      </c>
      <c r="D22" s="45"/>
    </row>
    <row r="23" spans="1:6" ht="27.6" x14ac:dyDescent="0.25">
      <c r="A23" s="49" t="s">
        <v>92</v>
      </c>
      <c r="B23" s="176">
        <v>0.05</v>
      </c>
      <c r="C23" s="50"/>
      <c r="D23" s="45"/>
    </row>
    <row r="24" spans="1:6" x14ac:dyDescent="0.25">
      <c r="A24" s="49" t="s">
        <v>93</v>
      </c>
      <c r="B24" s="176">
        <v>0.01</v>
      </c>
      <c r="C24" s="50" t="s">
        <v>94</v>
      </c>
      <c r="D24" s="45"/>
    </row>
    <row r="25" spans="1:6" x14ac:dyDescent="0.25">
      <c r="A25" s="49" t="s">
        <v>95</v>
      </c>
      <c r="B25" s="79">
        <f>(1+$B$23)/(1+$B$24)-1</f>
        <v>3.9603960396039639E-2</v>
      </c>
      <c r="C25" s="50"/>
      <c r="D25" s="45"/>
    </row>
    <row r="26" spans="1:6" x14ac:dyDescent="0.25">
      <c r="A26" s="49" t="s">
        <v>87</v>
      </c>
      <c r="B26" s="53">
        <v>15</v>
      </c>
      <c r="C26" s="50" t="s">
        <v>88</v>
      </c>
      <c r="D26" s="45"/>
    </row>
    <row r="27" spans="1:6" ht="27.6" x14ac:dyDescent="0.25">
      <c r="A27" s="49" t="s">
        <v>135</v>
      </c>
      <c r="B27" s="88">
        <f>($B$22*((1-(1+$B$25)^(-$B$26))/$B$25))</f>
        <v>65995508.650346965</v>
      </c>
      <c r="C27" s="50" t="s">
        <v>89</v>
      </c>
      <c r="D27" s="45"/>
    </row>
    <row r="28" spans="1:6" ht="14.4" thickBot="1" x14ac:dyDescent="0.3">
      <c r="A28" s="56" t="s">
        <v>125</v>
      </c>
      <c r="B28" s="89">
        <f>-$B$20+($B$22*((1-(1+$B$25)^(-$B$26))/$B$25))</f>
        <v>31495608.650346965</v>
      </c>
      <c r="C28" s="57" t="s">
        <v>48</v>
      </c>
      <c r="D28" s="45"/>
    </row>
    <row r="29" spans="1:6" x14ac:dyDescent="0.25">
      <c r="A29" s="54"/>
      <c r="B29" s="75"/>
      <c r="C29" s="52"/>
      <c r="D29" s="45"/>
    </row>
    <row r="30" spans="1:6" ht="14.4" thickBot="1" x14ac:dyDescent="0.3">
      <c r="A30" s="54"/>
      <c r="B30" s="54"/>
      <c r="C30" s="52"/>
      <c r="D30" s="45"/>
    </row>
    <row r="31" spans="1:6" ht="15" x14ac:dyDescent="0.25">
      <c r="A31" s="62" t="s">
        <v>113</v>
      </c>
      <c r="B31" s="63"/>
      <c r="C31" s="63"/>
      <c r="D31" s="63"/>
      <c r="E31" s="63"/>
      <c r="F31" s="64"/>
    </row>
    <row r="32" spans="1:6" s="17" customFormat="1" ht="15" x14ac:dyDescent="0.25">
      <c r="A32" s="58" t="s">
        <v>2</v>
      </c>
      <c r="B32" s="59" t="s">
        <v>6</v>
      </c>
      <c r="C32" s="60" t="s">
        <v>5</v>
      </c>
      <c r="D32" s="60" t="s">
        <v>34</v>
      </c>
      <c r="E32" s="60" t="s">
        <v>4</v>
      </c>
      <c r="F32" s="61" t="s">
        <v>3</v>
      </c>
    </row>
    <row r="33" spans="1:6" x14ac:dyDescent="0.25">
      <c r="A33" s="18" t="s">
        <v>7</v>
      </c>
      <c r="B33" s="101"/>
      <c r="C33" s="102"/>
      <c r="D33" s="102"/>
      <c r="E33" s="103"/>
      <c r="F33" s="71"/>
    </row>
    <row r="34" spans="1:6" x14ac:dyDescent="0.25">
      <c r="A34" s="14" t="s">
        <v>27</v>
      </c>
      <c r="B34" s="101">
        <v>1</v>
      </c>
      <c r="C34" s="102">
        <v>6142</v>
      </c>
      <c r="D34" s="102"/>
      <c r="E34" s="103">
        <v>100</v>
      </c>
      <c r="F34" s="80">
        <f t="shared" ref="F34:F46" si="0">C34*E34</f>
        <v>614200</v>
      </c>
    </row>
    <row r="35" spans="1:6" x14ac:dyDescent="0.25">
      <c r="A35" s="14" t="s">
        <v>28</v>
      </c>
      <c r="B35" s="101"/>
      <c r="C35" s="102"/>
      <c r="D35" s="102"/>
      <c r="E35" s="103"/>
      <c r="F35" s="80">
        <f t="shared" si="0"/>
        <v>0</v>
      </c>
    </row>
    <row r="36" spans="1:6" x14ac:dyDescent="0.25">
      <c r="A36" s="20" t="s">
        <v>30</v>
      </c>
      <c r="B36" s="104"/>
      <c r="C36" s="105"/>
      <c r="D36" s="105"/>
      <c r="E36" s="106"/>
      <c r="F36" s="81">
        <f>SUM(F34:F35)</f>
        <v>614200</v>
      </c>
    </row>
    <row r="37" spans="1:6" x14ac:dyDescent="0.25">
      <c r="A37" s="24" t="s">
        <v>8</v>
      </c>
      <c r="B37" s="107"/>
      <c r="C37" s="108"/>
      <c r="D37" s="108"/>
      <c r="E37" s="109"/>
      <c r="F37" s="71"/>
    </row>
    <row r="38" spans="1:6" x14ac:dyDescent="0.25">
      <c r="A38" s="14" t="s">
        <v>9</v>
      </c>
      <c r="B38" s="101">
        <v>2</v>
      </c>
      <c r="C38" s="102">
        <v>6142</v>
      </c>
      <c r="D38" s="102"/>
      <c r="E38" s="103">
        <v>3269</v>
      </c>
      <c r="F38" s="80">
        <f>C38*E38</f>
        <v>20078198</v>
      </c>
    </row>
    <row r="39" spans="1:6" x14ac:dyDescent="0.25">
      <c r="A39" s="14" t="s">
        <v>11</v>
      </c>
      <c r="B39" s="101"/>
      <c r="C39" s="102"/>
      <c r="D39" s="102"/>
      <c r="E39" s="103"/>
      <c r="F39" s="80"/>
    </row>
    <row r="40" spans="1:6" x14ac:dyDescent="0.25">
      <c r="A40" s="14" t="s">
        <v>10</v>
      </c>
      <c r="B40" s="101"/>
      <c r="C40" s="102"/>
      <c r="D40" s="102"/>
      <c r="E40" s="103"/>
      <c r="F40" s="80"/>
    </row>
    <row r="41" spans="1:6" x14ac:dyDescent="0.25">
      <c r="A41" s="14" t="s">
        <v>12</v>
      </c>
      <c r="B41" s="101"/>
      <c r="C41" s="102"/>
      <c r="D41" s="102"/>
      <c r="E41" s="103"/>
      <c r="F41" s="80"/>
    </row>
    <row r="42" spans="1:6" x14ac:dyDescent="0.25">
      <c r="A42" s="20" t="s">
        <v>30</v>
      </c>
      <c r="B42" s="104"/>
      <c r="C42" s="105"/>
      <c r="D42" s="105"/>
      <c r="E42" s="106"/>
      <c r="F42" s="81">
        <f>SUM(F38:F41)</f>
        <v>20078198</v>
      </c>
    </row>
    <row r="43" spans="1:6" x14ac:dyDescent="0.25">
      <c r="A43" s="24" t="s">
        <v>13</v>
      </c>
      <c r="B43" s="107"/>
      <c r="C43" s="108"/>
      <c r="D43" s="108"/>
      <c r="E43" s="109"/>
      <c r="F43" s="71"/>
    </row>
    <row r="44" spans="1:6" x14ac:dyDescent="0.25">
      <c r="A44" s="14" t="s">
        <v>14</v>
      </c>
      <c r="B44" s="101"/>
      <c r="C44" s="102"/>
      <c r="D44" s="102"/>
      <c r="E44" s="103"/>
      <c r="F44" s="80">
        <f t="shared" si="0"/>
        <v>0</v>
      </c>
    </row>
    <row r="45" spans="1:6" x14ac:dyDescent="0.25">
      <c r="A45" s="14" t="s">
        <v>15</v>
      </c>
      <c r="B45" s="101">
        <v>3</v>
      </c>
      <c r="C45" s="102"/>
      <c r="D45" s="102"/>
      <c r="E45" s="103"/>
      <c r="F45" s="80">
        <v>1288344</v>
      </c>
    </row>
    <row r="46" spans="1:6" x14ac:dyDescent="0.25">
      <c r="A46" s="14" t="s">
        <v>16</v>
      </c>
      <c r="B46" s="101"/>
      <c r="C46" s="102"/>
      <c r="D46" s="102"/>
      <c r="E46" s="103"/>
      <c r="F46" s="80">
        <f t="shared" si="0"/>
        <v>0</v>
      </c>
    </row>
    <row r="47" spans="1:6" x14ac:dyDescent="0.25">
      <c r="A47" s="14" t="s">
        <v>17</v>
      </c>
      <c r="B47" s="101">
        <v>4</v>
      </c>
      <c r="C47" s="102"/>
      <c r="D47" s="102"/>
      <c r="E47" s="103"/>
      <c r="F47" s="80">
        <v>1690433</v>
      </c>
    </row>
    <row r="48" spans="1:6" x14ac:dyDescent="0.25">
      <c r="A48" s="14" t="s">
        <v>18</v>
      </c>
      <c r="B48" s="101">
        <v>5</v>
      </c>
      <c r="C48" s="102"/>
      <c r="D48" s="102"/>
      <c r="E48" s="103"/>
      <c r="F48" s="80">
        <v>1268055</v>
      </c>
    </row>
    <row r="49" spans="1:6" x14ac:dyDescent="0.25">
      <c r="A49" s="14" t="s">
        <v>19</v>
      </c>
      <c r="B49" s="101"/>
      <c r="C49" s="102"/>
      <c r="D49" s="102"/>
      <c r="E49" s="103"/>
      <c r="F49" s="80"/>
    </row>
    <row r="50" spans="1:6" x14ac:dyDescent="0.25">
      <c r="A50" s="20" t="s">
        <v>31</v>
      </c>
      <c r="B50" s="104"/>
      <c r="C50" s="105"/>
      <c r="D50" s="105"/>
      <c r="E50" s="106"/>
      <c r="F50" s="81">
        <f>SUM(F44:F49)</f>
        <v>4246832</v>
      </c>
    </row>
    <row r="51" spans="1:6" x14ac:dyDescent="0.25">
      <c r="A51" s="24" t="s">
        <v>29</v>
      </c>
      <c r="B51" s="107"/>
      <c r="C51" s="108"/>
      <c r="D51" s="108"/>
      <c r="E51" s="109"/>
      <c r="F51" s="71"/>
    </row>
    <row r="52" spans="1:6" x14ac:dyDescent="0.25">
      <c r="A52" s="14"/>
      <c r="B52" s="101"/>
      <c r="C52" s="102"/>
      <c r="D52" s="102"/>
      <c r="E52" s="103"/>
      <c r="F52" s="80"/>
    </row>
    <row r="53" spans="1:6" x14ac:dyDescent="0.25">
      <c r="A53" s="14" t="s">
        <v>261</v>
      </c>
      <c r="B53" s="101">
        <v>6</v>
      </c>
      <c r="C53" s="102"/>
      <c r="D53" s="102"/>
      <c r="E53" s="103"/>
      <c r="F53" s="80">
        <v>8175500</v>
      </c>
    </row>
    <row r="54" spans="1:6" x14ac:dyDescent="0.25">
      <c r="A54" s="14" t="s">
        <v>262</v>
      </c>
      <c r="B54" s="101">
        <v>7</v>
      </c>
      <c r="C54" s="102"/>
      <c r="D54" s="102"/>
      <c r="E54" s="103"/>
      <c r="F54" s="80">
        <v>-533600</v>
      </c>
    </row>
    <row r="55" spans="1:6" x14ac:dyDescent="0.25">
      <c r="A55" s="14"/>
      <c r="B55" s="101"/>
      <c r="C55" s="102"/>
      <c r="D55" s="102"/>
      <c r="E55" s="103"/>
      <c r="F55" s="80"/>
    </row>
    <row r="56" spans="1:6" x14ac:dyDescent="0.25">
      <c r="A56" s="20" t="s">
        <v>32</v>
      </c>
      <c r="B56" s="104"/>
      <c r="C56" s="105"/>
      <c r="D56" s="105"/>
      <c r="E56" s="106"/>
      <c r="F56" s="81">
        <f>SUM(F52:F55)</f>
        <v>7641900</v>
      </c>
    </row>
    <row r="57" spans="1:6" x14ac:dyDescent="0.25">
      <c r="A57" s="24" t="s">
        <v>20</v>
      </c>
      <c r="B57" s="107"/>
      <c r="C57" s="108"/>
      <c r="D57" s="108"/>
      <c r="E57" s="109"/>
      <c r="F57" s="72"/>
    </row>
    <row r="58" spans="1:6" x14ac:dyDescent="0.25">
      <c r="A58" s="14" t="s">
        <v>21</v>
      </c>
      <c r="B58" s="101"/>
      <c r="C58" s="102"/>
      <c r="D58" s="102"/>
      <c r="E58" s="103"/>
      <c r="F58" s="80">
        <v>1680000</v>
      </c>
    </row>
    <row r="59" spans="1:6" x14ac:dyDescent="0.25">
      <c r="A59" s="14" t="s">
        <v>22</v>
      </c>
      <c r="B59" s="101"/>
      <c r="C59" s="102"/>
      <c r="D59" s="102"/>
      <c r="E59" s="103"/>
      <c r="F59" s="80"/>
    </row>
    <row r="60" spans="1:6" x14ac:dyDescent="0.25">
      <c r="A60" s="14" t="s">
        <v>23</v>
      </c>
      <c r="B60" s="101">
        <v>8</v>
      </c>
      <c r="C60" s="102"/>
      <c r="D60" s="102"/>
      <c r="E60" s="103"/>
      <c r="F60" s="80">
        <v>150000</v>
      </c>
    </row>
    <row r="61" spans="1:6" x14ac:dyDescent="0.25">
      <c r="A61" s="14" t="s">
        <v>24</v>
      </c>
      <c r="B61" s="101"/>
      <c r="C61" s="102"/>
      <c r="D61" s="102"/>
      <c r="E61" s="103"/>
      <c r="F61" s="80"/>
    </row>
    <row r="62" spans="1:6" x14ac:dyDescent="0.25">
      <c r="A62" s="14" t="s">
        <v>25</v>
      </c>
      <c r="B62" s="101"/>
      <c r="C62" s="102"/>
      <c r="D62" s="102"/>
      <c r="E62" s="103"/>
      <c r="F62" s="80"/>
    </row>
    <row r="63" spans="1:6" x14ac:dyDescent="0.25">
      <c r="A63" s="20" t="s">
        <v>33</v>
      </c>
      <c r="B63" s="104"/>
      <c r="C63" s="105"/>
      <c r="D63" s="105"/>
      <c r="E63" s="106"/>
      <c r="F63" s="81">
        <f>SUM(F58:F62)</f>
        <v>1830000</v>
      </c>
    </row>
    <row r="64" spans="1:6" x14ac:dyDescent="0.25">
      <c r="A64" s="24" t="s">
        <v>96</v>
      </c>
      <c r="B64" s="107"/>
      <c r="C64" s="108"/>
      <c r="D64" s="108"/>
      <c r="E64" s="109"/>
      <c r="F64" s="72"/>
    </row>
    <row r="65" spans="1:6" x14ac:dyDescent="0.25">
      <c r="A65" s="14" t="s">
        <v>26</v>
      </c>
      <c r="B65" s="101">
        <v>9</v>
      </c>
      <c r="C65" s="102"/>
      <c r="D65" s="102"/>
      <c r="E65" s="103"/>
      <c r="F65" s="80">
        <v>469000</v>
      </c>
    </row>
    <row r="66" spans="1:6" x14ac:dyDescent="0.25">
      <c r="A66" s="14" t="s">
        <v>98</v>
      </c>
      <c r="B66" s="101"/>
      <c r="C66" s="87">
        <f>$B$23</f>
        <v>0.05</v>
      </c>
      <c r="D66" s="102"/>
      <c r="E66" s="103"/>
      <c r="F66" s="80">
        <v>819770</v>
      </c>
    </row>
    <row r="67" spans="1:6" x14ac:dyDescent="0.25">
      <c r="A67" s="20" t="s">
        <v>97</v>
      </c>
      <c r="B67" s="21"/>
      <c r="C67" s="22"/>
      <c r="D67" s="22"/>
      <c r="E67" s="23"/>
      <c r="F67" s="81">
        <f>SUM(F65:F66)</f>
        <v>1288770</v>
      </c>
    </row>
    <row r="68" spans="1:6" x14ac:dyDescent="0.25">
      <c r="A68" s="26" t="s">
        <v>136</v>
      </c>
      <c r="B68" s="25"/>
      <c r="C68" s="27"/>
      <c r="D68" s="27"/>
      <c r="E68" s="28"/>
      <c r="F68" s="82">
        <f>$F$36+$F$42+$F$50+$F$56+$F$63+$F$67</f>
        <v>35699900</v>
      </c>
    </row>
    <row r="69" spans="1:6" s="40" customFormat="1" x14ac:dyDescent="0.25">
      <c r="A69" s="36" t="s">
        <v>81</v>
      </c>
      <c r="B69" s="37"/>
      <c r="C69" s="38"/>
      <c r="D69" s="38"/>
      <c r="E69" s="39"/>
      <c r="F69" s="83">
        <f>IF(($F$68*0.4)&lt;1200000,-$F$68*0.4,-1200000)</f>
        <v>-1200000</v>
      </c>
    </row>
    <row r="70" spans="1:6" s="9" customFormat="1" x14ac:dyDescent="0.25">
      <c r="A70" s="46" t="s">
        <v>90</v>
      </c>
      <c r="B70" s="21"/>
      <c r="C70" s="47"/>
      <c r="D70" s="47"/>
      <c r="E70" s="48"/>
      <c r="F70" s="84">
        <f>$F$68+$F$69</f>
        <v>34499900</v>
      </c>
    </row>
    <row r="71" spans="1:6" s="9" customFormat="1" x14ac:dyDescent="0.25">
      <c r="A71" s="29" t="s">
        <v>82</v>
      </c>
      <c r="B71" s="19"/>
      <c r="C71" s="30"/>
      <c r="D71" s="30"/>
      <c r="E71" s="31"/>
      <c r="F71" s="85">
        <f>$F$68/$B$14</f>
        <v>44624.875</v>
      </c>
    </row>
    <row r="72" spans="1:6" x14ac:dyDescent="0.25">
      <c r="A72" s="29" t="s">
        <v>91</v>
      </c>
      <c r="B72" s="19"/>
      <c r="C72" s="30"/>
      <c r="D72" s="30"/>
      <c r="E72" s="31"/>
      <c r="F72" s="85">
        <f>($F$68+$F$69)/$B$14</f>
        <v>43124.875</v>
      </c>
    </row>
    <row r="73" spans="1:6" x14ac:dyDescent="0.25">
      <c r="A73" s="32" t="s">
        <v>36</v>
      </c>
      <c r="B73" s="177"/>
      <c r="C73" s="178"/>
      <c r="D73" s="178"/>
      <c r="E73" s="179"/>
      <c r="F73" s="180"/>
    </row>
    <row r="74" spans="1:6" ht="14.4" thickBot="1" x14ac:dyDescent="0.3">
      <c r="A74" s="33" t="s">
        <v>137</v>
      </c>
      <c r="B74" s="34"/>
      <c r="C74" s="35"/>
      <c r="D74" s="35"/>
      <c r="E74" s="35"/>
      <c r="F74" s="86">
        <f>$F$68+$F$73</f>
        <v>35699900</v>
      </c>
    </row>
    <row r="79" spans="1:6" x14ac:dyDescent="0.25">
      <c r="A79" s="49"/>
      <c r="B79" s="51"/>
      <c r="C79" s="51"/>
      <c r="D79" s="45"/>
    </row>
  </sheetData>
  <dataValidations count="1">
    <dataValidation type="list" allowBlank="1" showInputMessage="1" showErrorMessage="1" promptTitle="Välj djurslag" sqref="C14">
      <formula1>Djurslag</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pageSetUpPr fitToPage="1"/>
  </sheetPr>
  <dimension ref="A1:BA72"/>
  <sheetViews>
    <sheetView zoomScale="136" zoomScaleNormal="136" workbookViewId="0">
      <selection activeCell="E10" sqref="E10"/>
    </sheetView>
  </sheetViews>
  <sheetFormatPr defaultColWidth="9.109375" defaultRowHeight="13.8" x14ac:dyDescent="0.25"/>
  <cols>
    <col min="1" max="1" width="30.6640625" style="131" customWidth="1"/>
    <col min="2" max="2" width="14.109375" style="131" customWidth="1"/>
    <col min="3" max="3" width="13.88671875" style="131" bestFit="1" customWidth="1"/>
    <col min="4" max="4" width="9.109375" style="131" customWidth="1"/>
    <col min="5" max="5" width="15.33203125" style="131" customWidth="1"/>
    <col min="6" max="6" width="14.44140625" style="131" bestFit="1" customWidth="1"/>
    <col min="7" max="7" width="14.88671875" style="131" customWidth="1"/>
    <col min="8" max="8" width="15.6640625" style="131" bestFit="1" customWidth="1"/>
    <col min="9" max="9" width="9.109375" style="131"/>
    <col min="10" max="10" width="9.5546875" style="131" bestFit="1" customWidth="1"/>
    <col min="11" max="16384" width="9.109375" style="131"/>
  </cols>
  <sheetData>
    <row r="1" spans="1:38" ht="27.6" x14ac:dyDescent="0.45">
      <c r="A1" s="139" t="s">
        <v>86</v>
      </c>
    </row>
    <row r="2" spans="1:38" ht="14.4" thickBot="1" x14ac:dyDescent="0.3"/>
    <row r="3" spans="1:38" x14ac:dyDescent="0.25">
      <c r="A3" s="140" t="s">
        <v>72</v>
      </c>
      <c r="B3" s="141"/>
      <c r="C3" s="142"/>
    </row>
    <row r="4" spans="1:38" x14ac:dyDescent="0.25">
      <c r="A4" s="228" t="s">
        <v>35</v>
      </c>
      <c r="B4" s="143">
        <f>IF(Investeringskalkyl!$C$14="suggor",Investeringskalkyl!$B$14,0)</f>
        <v>800</v>
      </c>
      <c r="C4" s="144" t="s">
        <v>41</v>
      </c>
      <c r="D4" s="145"/>
    </row>
    <row r="5" spans="1:38" ht="14.4" thickBot="1" x14ac:dyDescent="0.3">
      <c r="A5" s="229" t="s">
        <v>70</v>
      </c>
      <c r="B5" s="219">
        <f>2.3*14.5</f>
        <v>33.349999999999994</v>
      </c>
      <c r="C5" s="146" t="s">
        <v>71</v>
      </c>
      <c r="D5" s="145"/>
    </row>
    <row r="6" spans="1:38" ht="14.4" thickBot="1" x14ac:dyDescent="0.3">
      <c r="A6" s="181"/>
    </row>
    <row r="7" spans="1:38" x14ac:dyDescent="0.25">
      <c r="A7" s="126" t="s">
        <v>78</v>
      </c>
      <c r="B7" s="127"/>
    </row>
    <row r="8" spans="1:38" ht="14.4" thickBot="1" x14ac:dyDescent="0.3">
      <c r="A8" s="115" t="s">
        <v>129</v>
      </c>
      <c r="B8" s="74">
        <f>$B$4*$B$14</f>
        <v>2595483.5737098269</v>
      </c>
    </row>
    <row r="9" spans="1:38" x14ac:dyDescent="0.25">
      <c r="A9" s="116" t="s">
        <v>130</v>
      </c>
      <c r="B9" s="187">
        <f>$B$8/$H$26</f>
        <v>0.14890003362218041</v>
      </c>
    </row>
    <row r="10" spans="1:38" ht="14.4" thickBot="1" x14ac:dyDescent="0.3">
      <c r="A10" s="117" t="s">
        <v>132</v>
      </c>
      <c r="B10" s="118">
        <f>$H$52+$H$53</f>
        <v>1776000</v>
      </c>
    </row>
    <row r="11" spans="1:38" x14ac:dyDescent="0.25">
      <c r="A11" s="126" t="s">
        <v>107</v>
      </c>
      <c r="B11" s="182"/>
    </row>
    <row r="12" spans="1:38" ht="18.75" customHeight="1" x14ac:dyDescent="0.25">
      <c r="A12" s="119" t="s">
        <v>104</v>
      </c>
      <c r="B12" s="73">
        <f>$F$26-$F$44</f>
        <v>10384.571099999996</v>
      </c>
    </row>
    <row r="13" spans="1:38" x14ac:dyDescent="0.25">
      <c r="A13" s="119" t="s">
        <v>105</v>
      </c>
      <c r="B13" s="73">
        <f>$F$26-$F$44-$F$48</f>
        <v>9719.003577499996</v>
      </c>
    </row>
    <row r="14" spans="1:38" ht="14.4" thickBot="1" x14ac:dyDescent="0.3">
      <c r="A14" s="115" t="s">
        <v>106</v>
      </c>
      <c r="B14" s="74">
        <f>$F$26-$F$44-$F48-$F$54</f>
        <v>3244.3544671372838</v>
      </c>
    </row>
    <row r="15" spans="1:38" s="133" customFormat="1" ht="12.15" customHeight="1" x14ac:dyDescent="0.25">
      <c r="A15" s="113"/>
      <c r="B15" s="111"/>
      <c r="C15" s="128"/>
      <c r="D15" s="128"/>
      <c r="E15" s="129"/>
      <c r="F15" s="129"/>
      <c r="G15" s="131"/>
      <c r="H15" s="130"/>
      <c r="I15" s="131"/>
      <c r="J15" s="131"/>
      <c r="K15" s="131"/>
      <c r="L15" s="132"/>
      <c r="N15" s="130"/>
      <c r="O15" s="130"/>
      <c r="P15" s="130"/>
      <c r="Q15" s="130"/>
      <c r="R15" s="130"/>
      <c r="S15" s="130"/>
      <c r="T15" s="130"/>
      <c r="U15" s="130"/>
      <c r="V15" s="130"/>
      <c r="W15" s="130"/>
      <c r="Z15" s="134"/>
      <c r="AA15" s="134"/>
      <c r="AB15" s="134"/>
      <c r="AC15" s="134"/>
      <c r="AD15" s="135"/>
      <c r="AE15" s="135"/>
      <c r="AF15" s="135"/>
      <c r="AG15" s="135"/>
      <c r="AH15" s="135"/>
      <c r="AI15" s="135"/>
      <c r="AJ15" s="135"/>
      <c r="AK15" s="135"/>
      <c r="AL15" s="135"/>
    </row>
    <row r="16" spans="1:38" s="133" customFormat="1" ht="12.15" customHeight="1" x14ac:dyDescent="0.25">
      <c r="A16" s="136"/>
      <c r="B16" s="137"/>
      <c r="C16" s="138"/>
      <c r="D16" s="138"/>
      <c r="E16" s="138"/>
      <c r="F16" s="138"/>
      <c r="G16" s="131"/>
      <c r="H16" s="130"/>
      <c r="I16" s="131"/>
      <c r="J16" s="131"/>
      <c r="K16" s="131"/>
      <c r="L16" s="132"/>
      <c r="N16" s="130"/>
      <c r="O16" s="130"/>
      <c r="P16" s="130"/>
      <c r="Q16" s="130"/>
      <c r="R16" s="130"/>
      <c r="S16" s="130"/>
      <c r="T16" s="130"/>
      <c r="U16" s="130"/>
      <c r="V16" s="130"/>
      <c r="W16" s="130"/>
      <c r="Z16" s="134"/>
      <c r="AA16" s="134"/>
      <c r="AB16" s="134"/>
      <c r="AC16" s="134"/>
      <c r="AD16" s="135"/>
      <c r="AE16" s="135"/>
      <c r="AF16" s="135"/>
      <c r="AG16" s="135"/>
      <c r="AH16" s="135"/>
      <c r="AI16" s="135"/>
      <c r="AJ16" s="135"/>
      <c r="AK16" s="135"/>
      <c r="AL16" s="135"/>
    </row>
    <row r="17" spans="1:53" s="133" customFormat="1" ht="27.6" x14ac:dyDescent="0.25">
      <c r="A17" s="147" t="s">
        <v>115</v>
      </c>
      <c r="B17" s="148" t="s">
        <v>6</v>
      </c>
      <c r="C17" s="149" t="s">
        <v>119</v>
      </c>
      <c r="D17" s="149" t="s">
        <v>34</v>
      </c>
      <c r="E17" s="149" t="s">
        <v>75</v>
      </c>
      <c r="F17" s="149" t="s">
        <v>101</v>
      </c>
      <c r="G17" s="150" t="s">
        <v>102</v>
      </c>
      <c r="H17" s="150" t="s">
        <v>100</v>
      </c>
      <c r="I17" s="131"/>
      <c r="J17" s="131"/>
      <c r="K17" s="131"/>
      <c r="L17" s="132"/>
      <c r="N17" s="130"/>
      <c r="O17" s="130"/>
      <c r="P17" s="130"/>
      <c r="Q17" s="130"/>
      <c r="R17" s="130"/>
      <c r="S17" s="130"/>
      <c r="T17" s="130"/>
      <c r="U17" s="130"/>
      <c r="V17" s="130"/>
      <c r="W17" s="130"/>
      <c r="Z17" s="134"/>
      <c r="AA17" s="134"/>
      <c r="AB17" s="134"/>
      <c r="AC17" s="134"/>
      <c r="AD17" s="135"/>
      <c r="AE17" s="135"/>
      <c r="AF17" s="135"/>
      <c r="AG17" s="135"/>
      <c r="AH17" s="135"/>
      <c r="AI17" s="135"/>
      <c r="AJ17" s="135"/>
      <c r="AK17" s="135"/>
      <c r="AL17" s="135"/>
    </row>
    <row r="18" spans="1:53" s="133" customFormat="1" x14ac:dyDescent="0.25">
      <c r="A18" s="220" t="s">
        <v>49</v>
      </c>
      <c r="B18" s="221">
        <v>1</v>
      </c>
      <c r="C18" s="186">
        <f>B5</f>
        <v>33.349999999999994</v>
      </c>
      <c r="D18" s="111" t="s">
        <v>50</v>
      </c>
      <c r="E18" s="41">
        <v>631</v>
      </c>
      <c r="F18" s="120">
        <f t="shared" ref="F18:F24" si="0">C18*E18</f>
        <v>21043.849999999995</v>
      </c>
      <c r="G18" s="125">
        <f>F18/$B$5</f>
        <v>631</v>
      </c>
      <c r="H18" s="120">
        <f>F18*$B$4</f>
        <v>16835079.999999996</v>
      </c>
      <c r="I18" s="131"/>
      <c r="J18" s="131"/>
      <c r="K18" s="131"/>
      <c r="L18" s="132"/>
      <c r="N18" s="130"/>
      <c r="O18" s="151"/>
      <c r="P18" s="130"/>
      <c r="Q18" s="130"/>
      <c r="R18" s="130"/>
      <c r="S18" s="130"/>
      <c r="T18" s="130"/>
      <c r="U18" s="130"/>
      <c r="V18" s="130"/>
      <c r="W18" s="130"/>
      <c r="Z18" s="134"/>
      <c r="AA18" s="134"/>
      <c r="AB18" s="134"/>
      <c r="AC18" s="134"/>
      <c r="AD18" s="135"/>
      <c r="AE18" s="135"/>
      <c r="AF18" s="135"/>
      <c r="AG18" s="135"/>
      <c r="AH18" s="135"/>
      <c r="AI18" s="135"/>
      <c r="AJ18" s="135"/>
      <c r="AK18" s="135"/>
      <c r="AL18" s="135"/>
    </row>
    <row r="19" spans="1:53" s="133" customFormat="1" x14ac:dyDescent="0.25">
      <c r="A19" s="220" t="s">
        <v>77</v>
      </c>
      <c r="B19" s="221">
        <v>2</v>
      </c>
      <c r="C19" s="211">
        <v>0.43</v>
      </c>
      <c r="D19" s="218" t="s">
        <v>50</v>
      </c>
      <c r="E19" s="214">
        <f>185*8.09</f>
        <v>1496.6499999999999</v>
      </c>
      <c r="F19" s="120">
        <f t="shared" si="0"/>
        <v>643.55949999999996</v>
      </c>
      <c r="G19" s="125">
        <f>F19/$B$5</f>
        <v>19.297136431784111</v>
      </c>
      <c r="H19" s="120">
        <f t="shared" ref="H19:H24" si="1">F19*$B$4</f>
        <v>514847.6</v>
      </c>
      <c r="I19" s="131"/>
      <c r="J19" s="131"/>
      <c r="K19" s="131"/>
      <c r="L19" s="132"/>
      <c r="N19" s="130"/>
      <c r="O19" s="151"/>
      <c r="P19" s="130"/>
      <c r="Q19" s="130"/>
      <c r="R19" s="130"/>
      <c r="S19" s="130"/>
      <c r="T19" s="130"/>
      <c r="U19" s="130"/>
      <c r="V19" s="130"/>
      <c r="W19" s="170"/>
      <c r="Z19" s="134"/>
      <c r="AA19" s="134"/>
      <c r="AB19" s="134"/>
      <c r="AC19" s="134"/>
      <c r="AD19" s="135"/>
      <c r="AE19" s="135"/>
      <c r="AF19" s="135"/>
      <c r="AG19" s="135"/>
      <c r="AH19" s="135"/>
      <c r="AI19" s="135"/>
      <c r="AJ19" s="135"/>
      <c r="AK19" s="135"/>
      <c r="AL19" s="135"/>
    </row>
    <row r="20" spans="1:53" s="133" customFormat="1" x14ac:dyDescent="0.25">
      <c r="A20" s="220"/>
      <c r="B20" s="221"/>
      <c r="C20" s="211"/>
      <c r="D20" s="213" t="s">
        <v>50</v>
      </c>
      <c r="E20" s="214"/>
      <c r="F20" s="120"/>
      <c r="G20" s="125"/>
      <c r="H20" s="120"/>
      <c r="I20" s="131"/>
      <c r="J20" s="131"/>
      <c r="K20" s="131"/>
      <c r="L20" s="132"/>
      <c r="N20" s="130"/>
      <c r="O20" s="151"/>
      <c r="P20" s="130"/>
      <c r="Q20" s="130"/>
      <c r="R20" s="130"/>
      <c r="S20" s="130"/>
      <c r="T20" s="130"/>
      <c r="U20" s="130"/>
      <c r="V20" s="130"/>
      <c r="W20" s="170"/>
      <c r="Z20" s="134"/>
      <c r="AA20" s="134"/>
      <c r="AB20" s="134"/>
      <c r="AC20" s="134"/>
      <c r="AD20" s="135"/>
      <c r="AE20" s="135"/>
      <c r="AF20" s="135"/>
      <c r="AG20" s="135"/>
      <c r="AH20" s="135"/>
      <c r="AI20" s="135"/>
      <c r="AJ20" s="135"/>
      <c r="AK20" s="135"/>
      <c r="AL20" s="135"/>
    </row>
    <row r="21" spans="1:53" s="133" customFormat="1" x14ac:dyDescent="0.25">
      <c r="A21" s="220" t="s">
        <v>51</v>
      </c>
      <c r="B21" s="221">
        <v>3</v>
      </c>
      <c r="C21" s="217">
        <v>1</v>
      </c>
      <c r="D21" s="213" t="s">
        <v>48</v>
      </c>
      <c r="E21" s="214"/>
      <c r="F21" s="120"/>
      <c r="G21" s="125"/>
      <c r="H21" s="120"/>
      <c r="I21" s="131"/>
      <c r="J21" s="131"/>
      <c r="K21" s="131"/>
      <c r="L21" s="132"/>
      <c r="N21" s="130"/>
      <c r="O21" s="151"/>
      <c r="P21" s="130"/>
      <c r="Q21" s="130"/>
      <c r="R21" s="130"/>
      <c r="S21" s="130"/>
      <c r="T21" s="130"/>
      <c r="U21" s="130"/>
      <c r="V21" s="130"/>
      <c r="W21" s="130"/>
      <c r="Z21" s="134"/>
      <c r="AA21" s="134"/>
      <c r="AB21" s="134"/>
      <c r="AC21" s="134"/>
      <c r="AD21" s="135"/>
      <c r="AE21" s="135"/>
      <c r="AF21" s="135"/>
      <c r="AG21" s="135"/>
      <c r="AH21" s="135"/>
      <c r="AI21" s="135"/>
      <c r="AJ21" s="135"/>
      <c r="AK21" s="135"/>
      <c r="AL21" s="135"/>
    </row>
    <row r="22" spans="1:53" s="133" customFormat="1" ht="14.25" customHeight="1" x14ac:dyDescent="0.25">
      <c r="A22" s="220" t="s">
        <v>52</v>
      </c>
      <c r="B22" s="221">
        <v>4</v>
      </c>
      <c r="C22" s="217">
        <v>1</v>
      </c>
      <c r="D22" s="213" t="s">
        <v>48</v>
      </c>
      <c r="E22" s="214"/>
      <c r="F22" s="120"/>
      <c r="G22" s="125"/>
      <c r="H22" s="120"/>
      <c r="I22" s="131"/>
      <c r="J22" s="131"/>
      <c r="K22" s="131"/>
      <c r="L22" s="132"/>
      <c r="N22" s="130"/>
      <c r="O22" s="151"/>
      <c r="P22" s="130"/>
      <c r="Q22" s="130"/>
      <c r="R22" s="130"/>
      <c r="S22" s="130"/>
      <c r="T22" s="130"/>
      <c r="U22" s="130"/>
      <c r="V22" s="130"/>
      <c r="W22" s="130"/>
      <c r="Z22" s="134"/>
      <c r="AA22" s="134"/>
      <c r="AB22" s="134"/>
      <c r="AC22" s="134"/>
      <c r="AD22" s="135"/>
      <c r="AE22" s="135"/>
      <c r="AF22" s="135"/>
      <c r="AG22" s="135"/>
      <c r="AH22" s="135"/>
      <c r="AI22" s="135"/>
      <c r="AJ22" s="135"/>
      <c r="AK22" s="135"/>
      <c r="AL22" s="135"/>
    </row>
    <row r="23" spans="1:53" s="133" customFormat="1" ht="27.6" x14ac:dyDescent="0.25">
      <c r="A23" s="220" t="s">
        <v>121</v>
      </c>
      <c r="B23" s="221">
        <v>5</v>
      </c>
      <c r="C23" s="217">
        <v>0</v>
      </c>
      <c r="D23" s="213" t="s">
        <v>48</v>
      </c>
      <c r="E23" s="214"/>
      <c r="F23" s="120"/>
      <c r="G23" s="125"/>
      <c r="H23" s="120"/>
      <c r="I23" s="131"/>
      <c r="J23" s="131"/>
      <c r="K23" s="131"/>
      <c r="L23" s="132"/>
      <c r="N23" s="130"/>
      <c r="O23" s="151"/>
      <c r="P23" s="130"/>
      <c r="Q23" s="130"/>
      <c r="R23" s="130"/>
      <c r="S23" s="130"/>
      <c r="T23" s="130"/>
      <c r="U23" s="130"/>
      <c r="V23" s="130"/>
      <c r="W23" s="130"/>
      <c r="Z23" s="134"/>
      <c r="AA23" s="134"/>
      <c r="AB23" s="134"/>
      <c r="AC23" s="134"/>
      <c r="AD23" s="135"/>
      <c r="AE23" s="135"/>
      <c r="AF23" s="135"/>
      <c r="AG23" s="135"/>
      <c r="AH23" s="135"/>
      <c r="AI23" s="135"/>
      <c r="AJ23" s="135"/>
      <c r="AK23" s="135"/>
      <c r="AL23" s="135"/>
    </row>
    <row r="24" spans="1:53" s="133" customFormat="1" x14ac:dyDescent="0.25">
      <c r="A24" s="220" t="s">
        <v>83</v>
      </c>
      <c r="B24" s="221">
        <v>6</v>
      </c>
      <c r="C24" s="217">
        <v>3.9</v>
      </c>
      <c r="D24" s="213" t="s">
        <v>53</v>
      </c>
      <c r="E24" s="214">
        <v>26</v>
      </c>
      <c r="F24" s="120">
        <f t="shared" si="0"/>
        <v>101.39999999999999</v>
      </c>
      <c r="G24" s="125">
        <f t="shared" ref="G24" si="2">F24/$B$5</f>
        <v>3.0404797601199403</v>
      </c>
      <c r="H24" s="120">
        <f t="shared" si="1"/>
        <v>81120</v>
      </c>
      <c r="I24" s="131"/>
      <c r="J24" s="131"/>
      <c r="K24" s="131"/>
      <c r="L24" s="132"/>
      <c r="N24" s="130"/>
      <c r="O24" s="151"/>
      <c r="P24" s="130"/>
      <c r="Q24" s="130"/>
      <c r="R24" s="130"/>
      <c r="S24" s="130"/>
      <c r="T24" s="130"/>
      <c r="U24" s="130"/>
      <c r="V24" s="130"/>
      <c r="W24" s="130"/>
      <c r="Z24" s="134"/>
      <c r="AA24" s="134"/>
      <c r="AB24" s="134"/>
      <c r="AC24" s="134"/>
      <c r="AD24" s="135"/>
      <c r="AE24" s="135"/>
      <c r="AF24" s="135"/>
      <c r="AG24" s="135"/>
      <c r="AH24" s="135"/>
      <c r="AI24" s="135"/>
      <c r="AJ24" s="135"/>
      <c r="AK24" s="135"/>
      <c r="AL24" s="135"/>
      <c r="BA24" s="130"/>
    </row>
    <row r="25" spans="1:53" s="133" customFormat="1" x14ac:dyDescent="0.25">
      <c r="A25" s="220"/>
      <c r="B25" s="221"/>
      <c r="C25" s="217"/>
      <c r="D25" s="213"/>
      <c r="E25" s="214"/>
      <c r="F25" s="120"/>
      <c r="G25" s="125"/>
      <c r="H25" s="120"/>
      <c r="I25" s="131"/>
      <c r="J25" s="131"/>
      <c r="K25" s="131"/>
      <c r="L25" s="132"/>
      <c r="N25" s="130"/>
      <c r="O25" s="151"/>
      <c r="P25" s="130"/>
      <c r="Q25" s="130"/>
      <c r="R25" s="130"/>
      <c r="S25" s="130"/>
      <c r="T25" s="130"/>
      <c r="U25" s="130"/>
      <c r="V25" s="130"/>
      <c r="W25" s="130"/>
      <c r="Z25" s="134"/>
      <c r="AA25" s="134"/>
      <c r="AB25" s="134"/>
      <c r="AC25" s="134"/>
      <c r="AD25" s="135"/>
      <c r="AE25" s="135"/>
      <c r="AF25" s="135"/>
      <c r="AG25" s="135"/>
      <c r="AH25" s="135"/>
      <c r="AI25" s="135"/>
      <c r="AJ25" s="135"/>
      <c r="AK25" s="135"/>
      <c r="AL25" s="135"/>
      <c r="BA25" s="130"/>
    </row>
    <row r="26" spans="1:53" s="133" customFormat="1" x14ac:dyDescent="0.25">
      <c r="A26" s="152" t="s">
        <v>103</v>
      </c>
      <c r="B26" s="153"/>
      <c r="C26" s="154"/>
      <c r="D26" s="155"/>
      <c r="E26" s="156"/>
      <c r="F26" s="42">
        <f>SUM(F18:F25)</f>
        <v>21788.809499999996</v>
      </c>
      <c r="G26" s="42">
        <f>SUM(G18:G25)</f>
        <v>653.33761619190409</v>
      </c>
      <c r="H26" s="42">
        <f>SUM(H18:H25)</f>
        <v>17431047.599999998</v>
      </c>
      <c r="I26" s="131"/>
      <c r="J26" s="131"/>
      <c r="K26" s="131"/>
      <c r="L26" s="132"/>
      <c r="N26" s="130"/>
      <c r="O26" s="151"/>
      <c r="P26" s="130"/>
      <c r="Q26" s="130"/>
      <c r="R26" s="130"/>
      <c r="S26" s="130"/>
      <c r="T26" s="130"/>
      <c r="U26" s="130"/>
      <c r="V26" s="130"/>
      <c r="W26" s="130"/>
      <c r="Z26" s="134"/>
      <c r="AA26" s="134"/>
      <c r="AB26" s="134"/>
      <c r="AC26" s="134"/>
      <c r="AD26" s="135"/>
      <c r="AE26" s="135"/>
      <c r="AF26" s="135"/>
      <c r="AG26" s="135"/>
      <c r="AH26" s="135"/>
      <c r="AI26" s="135"/>
      <c r="AJ26" s="135"/>
      <c r="AK26" s="135"/>
      <c r="AL26" s="135"/>
      <c r="BA26" s="130"/>
    </row>
    <row r="27" spans="1:53" s="133" customFormat="1" x14ac:dyDescent="0.25">
      <c r="A27" s="157"/>
      <c r="B27" s="110"/>
      <c r="C27" s="158"/>
      <c r="D27" s="137"/>
      <c r="E27" s="159"/>
      <c r="F27" s="160"/>
      <c r="G27" s="183"/>
      <c r="H27" s="130"/>
      <c r="I27" s="114"/>
      <c r="J27" s="132"/>
      <c r="K27" s="130"/>
      <c r="L27" s="130"/>
      <c r="M27" s="151"/>
      <c r="N27" s="130"/>
      <c r="O27" s="130"/>
      <c r="P27" s="130"/>
      <c r="Q27" s="130"/>
      <c r="R27" s="130"/>
      <c r="S27" s="130"/>
      <c r="T27" s="130"/>
      <c r="U27" s="130"/>
      <c r="X27" s="134"/>
      <c r="Y27" s="134"/>
      <c r="Z27" s="134"/>
      <c r="AA27" s="134"/>
      <c r="AB27" s="135"/>
      <c r="AC27" s="135"/>
      <c r="AD27" s="135"/>
      <c r="AE27" s="135"/>
      <c r="AF27" s="135"/>
      <c r="AG27" s="135"/>
      <c r="AH27" s="135"/>
      <c r="AI27" s="135"/>
      <c r="AJ27" s="135"/>
      <c r="AY27" s="130"/>
    </row>
    <row r="28" spans="1:53" s="133" customFormat="1" ht="27.6" x14ac:dyDescent="0.25">
      <c r="A28" s="147" t="s">
        <v>116</v>
      </c>
      <c r="B28" s="148" t="s">
        <v>6</v>
      </c>
      <c r="C28" s="149" t="s">
        <v>119</v>
      </c>
      <c r="D28" s="149" t="s">
        <v>34</v>
      </c>
      <c r="E28" s="149" t="s">
        <v>120</v>
      </c>
      <c r="F28" s="149" t="s">
        <v>101</v>
      </c>
      <c r="G28" s="150" t="s">
        <v>102</v>
      </c>
      <c r="H28" s="150" t="s">
        <v>100</v>
      </c>
      <c r="I28" s="114"/>
      <c r="J28" s="132"/>
      <c r="K28" s="130"/>
      <c r="L28" s="130"/>
      <c r="M28" s="151"/>
      <c r="N28" s="130"/>
      <c r="O28" s="130"/>
      <c r="P28" s="130"/>
      <c r="Q28" s="130"/>
      <c r="R28" s="130"/>
      <c r="S28" s="130"/>
      <c r="T28" s="130"/>
      <c r="U28" s="130"/>
      <c r="X28" s="134"/>
      <c r="Y28" s="134"/>
      <c r="Z28" s="134"/>
      <c r="AA28" s="134"/>
      <c r="AB28" s="135"/>
      <c r="AC28" s="135"/>
      <c r="AD28" s="135"/>
      <c r="AE28" s="135"/>
      <c r="AF28" s="135"/>
      <c r="AG28" s="135"/>
      <c r="AH28" s="135"/>
      <c r="AI28" s="135"/>
      <c r="AJ28" s="135"/>
      <c r="AY28" s="130"/>
    </row>
    <row r="29" spans="1:53" s="133" customFormat="1" x14ac:dyDescent="0.25">
      <c r="A29" s="220" t="s">
        <v>54</v>
      </c>
      <c r="B29" s="221">
        <v>7</v>
      </c>
      <c r="C29" s="211">
        <v>0.48</v>
      </c>
      <c r="D29" s="213" t="s">
        <v>50</v>
      </c>
      <c r="E29" s="214">
        <v>3047</v>
      </c>
      <c r="F29" s="120">
        <f>C29*E29</f>
        <v>1462.56</v>
      </c>
      <c r="G29" s="125">
        <f t="shared" ref="G29:G53" si="3">F29/$B$5</f>
        <v>43.854872563718146</v>
      </c>
      <c r="H29" s="120">
        <f t="shared" ref="H29:H43" si="4">F29*$B$4</f>
        <v>1170048</v>
      </c>
      <c r="I29" s="151"/>
      <c r="J29" s="132"/>
      <c r="K29" s="130"/>
      <c r="L29" s="130"/>
      <c r="M29" s="151"/>
      <c r="N29" s="130"/>
      <c r="O29" s="130"/>
      <c r="P29" s="130"/>
      <c r="Q29" s="130"/>
      <c r="R29" s="130"/>
      <c r="S29" s="130"/>
      <c r="T29" s="130"/>
      <c r="U29" s="130"/>
      <c r="X29" s="134"/>
      <c r="Y29" s="134"/>
      <c r="Z29" s="134"/>
      <c r="AA29" s="134"/>
      <c r="AB29" s="135"/>
      <c r="AC29" s="135"/>
      <c r="AD29" s="135"/>
      <c r="AE29" s="135"/>
      <c r="AF29" s="135"/>
      <c r="AG29" s="135"/>
      <c r="AH29" s="135"/>
      <c r="AI29" s="135"/>
      <c r="AJ29" s="135"/>
    </row>
    <row r="30" spans="1:53" s="133" customFormat="1" x14ac:dyDescent="0.25">
      <c r="A30" s="220" t="s">
        <v>55</v>
      </c>
      <c r="B30" s="221">
        <v>8</v>
      </c>
      <c r="C30" s="212">
        <v>1714</v>
      </c>
      <c r="D30" s="213" t="s">
        <v>56</v>
      </c>
      <c r="E30" s="214">
        <v>2.1</v>
      </c>
      <c r="F30" s="120">
        <f t="shared" ref="F30:F43" si="5">C30*E30</f>
        <v>3599.4</v>
      </c>
      <c r="G30" s="125">
        <f t="shared" si="3"/>
        <v>107.92803598200902</v>
      </c>
      <c r="H30" s="120">
        <f t="shared" si="4"/>
        <v>2879520</v>
      </c>
      <c r="I30" s="151"/>
      <c r="J30" s="132"/>
      <c r="K30" s="130"/>
      <c r="L30" s="130"/>
      <c r="M30" s="151"/>
      <c r="N30" s="130"/>
      <c r="O30" s="130"/>
      <c r="P30" s="130"/>
      <c r="Q30" s="130"/>
      <c r="R30" s="130"/>
      <c r="S30" s="130"/>
      <c r="T30" s="130"/>
      <c r="U30" s="130"/>
      <c r="X30" s="134"/>
      <c r="Y30" s="134"/>
      <c r="Z30" s="134"/>
      <c r="AA30" s="134"/>
      <c r="AB30" s="135"/>
      <c r="AC30" s="135"/>
      <c r="AD30" s="135"/>
      <c r="AE30" s="135"/>
      <c r="AF30" s="135"/>
      <c r="AG30" s="135"/>
      <c r="AH30" s="135"/>
      <c r="AI30" s="135"/>
      <c r="AJ30" s="135"/>
    </row>
    <row r="31" spans="1:53" s="133" customFormat="1" x14ac:dyDescent="0.25">
      <c r="A31" s="220" t="s">
        <v>117</v>
      </c>
      <c r="B31" s="221">
        <v>9</v>
      </c>
      <c r="C31" s="212"/>
      <c r="D31" s="213"/>
      <c r="E31" s="214"/>
      <c r="F31" s="120"/>
      <c r="G31" s="125"/>
      <c r="H31" s="120"/>
      <c r="I31" s="151"/>
      <c r="J31" s="132"/>
      <c r="K31" s="130"/>
      <c r="L31" s="130"/>
      <c r="M31" s="151"/>
      <c r="N31" s="130"/>
      <c r="O31" s="130"/>
      <c r="P31" s="130"/>
      <c r="Q31" s="130"/>
      <c r="R31" s="130"/>
      <c r="S31" s="130"/>
      <c r="T31" s="130"/>
      <c r="U31" s="130"/>
      <c r="X31" s="134"/>
      <c r="Y31" s="134"/>
      <c r="Z31" s="134"/>
      <c r="AA31" s="134"/>
      <c r="AB31" s="135"/>
      <c r="AC31" s="135"/>
      <c r="AD31" s="135"/>
      <c r="AE31" s="135"/>
      <c r="AF31" s="135"/>
      <c r="AG31" s="135"/>
      <c r="AH31" s="135"/>
      <c r="AI31" s="135"/>
      <c r="AJ31" s="135"/>
    </row>
    <row r="32" spans="1:53" s="133" customFormat="1" x14ac:dyDescent="0.25">
      <c r="A32" s="220" t="s">
        <v>57</v>
      </c>
      <c r="B32" s="221">
        <v>10</v>
      </c>
      <c r="C32" s="212"/>
      <c r="D32" s="213"/>
      <c r="E32" s="214"/>
      <c r="F32" s="120"/>
      <c r="G32" s="125"/>
      <c r="H32" s="120"/>
      <c r="I32" s="151"/>
      <c r="J32" s="132"/>
      <c r="K32" s="130"/>
      <c r="L32" s="130"/>
      <c r="M32" s="151"/>
      <c r="N32" s="130"/>
      <c r="O32" s="130"/>
      <c r="P32" s="130"/>
      <c r="Q32" s="130"/>
      <c r="R32" s="130"/>
      <c r="S32" s="130"/>
      <c r="T32" s="130"/>
      <c r="U32" s="130"/>
      <c r="X32" s="134"/>
      <c r="Y32" s="134"/>
      <c r="Z32" s="134"/>
      <c r="AA32" s="134"/>
      <c r="AB32" s="135"/>
      <c r="AC32" s="135"/>
      <c r="AD32" s="135"/>
      <c r="AE32" s="135"/>
      <c r="AF32" s="135"/>
      <c r="AG32" s="135"/>
      <c r="AH32" s="135"/>
      <c r="AI32" s="135"/>
      <c r="AJ32" s="135"/>
    </row>
    <row r="33" spans="1:36" s="133" customFormat="1" x14ac:dyDescent="0.25">
      <c r="A33" s="220" t="s">
        <v>134</v>
      </c>
      <c r="B33" s="221">
        <v>11</v>
      </c>
      <c r="C33" s="212">
        <v>196</v>
      </c>
      <c r="D33" s="213" t="s">
        <v>56</v>
      </c>
      <c r="E33" s="214">
        <v>4.87</v>
      </c>
      <c r="F33" s="120">
        <f t="shared" ref="F33" si="6">C33*E33</f>
        <v>954.52</v>
      </c>
      <c r="G33" s="125">
        <f t="shared" ref="G33" si="7">F33/$B$5</f>
        <v>28.621289355322343</v>
      </c>
      <c r="H33" s="120">
        <f t="shared" ref="H33" si="8">F33*$B$4</f>
        <v>763616</v>
      </c>
      <c r="I33" s="151"/>
      <c r="J33" s="132"/>
      <c r="K33" s="130"/>
      <c r="L33" s="130"/>
      <c r="M33" s="151"/>
      <c r="N33" s="130"/>
      <c r="O33" s="130"/>
      <c r="P33" s="130"/>
      <c r="Q33" s="130"/>
      <c r="R33" s="130"/>
      <c r="S33" s="130"/>
      <c r="T33" s="130"/>
      <c r="U33" s="130"/>
      <c r="X33" s="134"/>
      <c r="Y33" s="134"/>
      <c r="Z33" s="134"/>
      <c r="AA33" s="134"/>
      <c r="AB33" s="135"/>
      <c r="AC33" s="135"/>
      <c r="AD33" s="135"/>
      <c r="AE33" s="135"/>
      <c r="AF33" s="135"/>
      <c r="AG33" s="135"/>
      <c r="AH33" s="135"/>
      <c r="AI33" s="135"/>
      <c r="AJ33" s="135"/>
    </row>
    <row r="34" spans="1:36" s="133" customFormat="1" x14ac:dyDescent="0.25">
      <c r="A34" s="220" t="s">
        <v>58</v>
      </c>
      <c r="B34" s="221">
        <v>12</v>
      </c>
      <c r="C34" s="212">
        <v>827</v>
      </c>
      <c r="D34" s="213" t="s">
        <v>56</v>
      </c>
      <c r="E34" s="214">
        <v>3.47</v>
      </c>
      <c r="F34" s="120">
        <f t="shared" si="5"/>
        <v>2869.69</v>
      </c>
      <c r="G34" s="125">
        <f t="shared" si="3"/>
        <v>86.047676161919057</v>
      </c>
      <c r="H34" s="120">
        <f t="shared" si="4"/>
        <v>2295752</v>
      </c>
      <c r="I34" s="151"/>
      <c r="J34" s="132"/>
      <c r="K34" s="130"/>
      <c r="L34" s="130"/>
      <c r="M34" s="151"/>
      <c r="N34" s="130"/>
      <c r="O34" s="130"/>
      <c r="P34" s="130"/>
      <c r="Q34" s="130"/>
      <c r="R34" s="130"/>
      <c r="S34" s="130"/>
      <c r="T34" s="130"/>
      <c r="U34" s="130"/>
      <c r="X34" s="134"/>
      <c r="Y34" s="134"/>
      <c r="Z34" s="134"/>
      <c r="AA34" s="134"/>
      <c r="AB34" s="135"/>
      <c r="AC34" s="135"/>
      <c r="AD34" s="135"/>
      <c r="AE34" s="135"/>
      <c r="AF34" s="135"/>
      <c r="AG34" s="135"/>
      <c r="AH34" s="135"/>
      <c r="AI34" s="135"/>
      <c r="AJ34" s="135"/>
    </row>
    <row r="35" spans="1:36" s="133" customFormat="1" x14ac:dyDescent="0.25">
      <c r="A35" s="220" t="s">
        <v>59</v>
      </c>
      <c r="B35" s="221">
        <v>13</v>
      </c>
      <c r="C35" s="212">
        <v>550</v>
      </c>
      <c r="D35" s="213" t="s">
        <v>56</v>
      </c>
      <c r="E35" s="214">
        <v>0.45</v>
      </c>
      <c r="F35" s="120">
        <f t="shared" si="5"/>
        <v>247.5</v>
      </c>
      <c r="G35" s="125">
        <f t="shared" si="3"/>
        <v>7.4212893553223402</v>
      </c>
      <c r="H35" s="120">
        <f t="shared" si="4"/>
        <v>198000</v>
      </c>
      <c r="I35" s="151"/>
      <c r="J35" s="132"/>
      <c r="K35" s="130"/>
      <c r="L35" s="130"/>
      <c r="M35" s="151"/>
      <c r="N35" s="130"/>
      <c r="O35" s="130"/>
      <c r="P35" s="130"/>
      <c r="Q35" s="130"/>
      <c r="R35" s="130"/>
      <c r="S35" s="130"/>
      <c r="T35" s="130"/>
      <c r="U35" s="130"/>
      <c r="X35" s="134"/>
      <c r="Y35" s="134"/>
      <c r="Z35" s="134"/>
      <c r="AA35" s="134"/>
      <c r="AB35" s="135"/>
      <c r="AC35" s="135"/>
      <c r="AD35" s="135"/>
      <c r="AE35" s="135"/>
      <c r="AF35" s="135"/>
      <c r="AG35" s="135"/>
      <c r="AH35" s="135"/>
      <c r="AI35" s="135"/>
      <c r="AJ35" s="135"/>
    </row>
    <row r="36" spans="1:36" s="133" customFormat="1" x14ac:dyDescent="0.25">
      <c r="A36" s="220" t="s">
        <v>255</v>
      </c>
      <c r="B36" s="221">
        <v>14</v>
      </c>
      <c r="C36" s="211">
        <v>3.7949999999999999</v>
      </c>
      <c r="D36" s="213" t="s">
        <v>205</v>
      </c>
      <c r="E36" s="214">
        <v>31.52</v>
      </c>
      <c r="F36" s="120">
        <f t="shared" si="5"/>
        <v>119.61839999999999</v>
      </c>
      <c r="G36" s="125">
        <f t="shared" si="3"/>
        <v>3.5867586206896558</v>
      </c>
      <c r="H36" s="120">
        <f t="shared" si="4"/>
        <v>95694.720000000001</v>
      </c>
      <c r="I36" s="151"/>
      <c r="J36" s="132"/>
      <c r="K36" s="130"/>
      <c r="L36" s="130"/>
      <c r="M36" s="151"/>
      <c r="N36" s="130"/>
      <c r="O36" s="130"/>
      <c r="P36" s="130"/>
      <c r="Q36" s="130"/>
      <c r="R36" s="130"/>
      <c r="S36" s="130"/>
      <c r="T36" s="130"/>
      <c r="U36" s="130"/>
      <c r="X36" s="134"/>
      <c r="Y36" s="134"/>
      <c r="Z36" s="134"/>
      <c r="AA36" s="134"/>
      <c r="AB36" s="135"/>
      <c r="AC36" s="135"/>
      <c r="AD36" s="135"/>
      <c r="AE36" s="135"/>
      <c r="AF36" s="135"/>
      <c r="AG36" s="135"/>
      <c r="AH36" s="135"/>
      <c r="AI36" s="135"/>
      <c r="AJ36" s="135"/>
    </row>
    <row r="37" spans="1:36" s="133" customFormat="1" x14ac:dyDescent="0.25">
      <c r="A37" s="220" t="s">
        <v>60</v>
      </c>
      <c r="B37" s="221">
        <v>15</v>
      </c>
      <c r="C37" s="212">
        <v>620</v>
      </c>
      <c r="D37" s="213" t="s">
        <v>61</v>
      </c>
      <c r="E37" s="214">
        <v>0.63</v>
      </c>
      <c r="F37" s="120">
        <f t="shared" si="5"/>
        <v>390.6</v>
      </c>
      <c r="G37" s="125">
        <f t="shared" si="3"/>
        <v>11.712143928035985</v>
      </c>
      <c r="H37" s="120">
        <f t="shared" si="4"/>
        <v>312480</v>
      </c>
      <c r="I37" s="151"/>
      <c r="J37" s="132"/>
      <c r="K37" s="130"/>
      <c r="L37" s="130"/>
      <c r="M37" s="151"/>
      <c r="N37" s="130"/>
      <c r="O37" s="130"/>
      <c r="P37" s="130"/>
      <c r="Q37" s="130"/>
      <c r="R37" s="130"/>
      <c r="S37" s="130"/>
      <c r="T37" s="130"/>
      <c r="U37" s="130"/>
      <c r="X37" s="134"/>
      <c r="Y37" s="134"/>
      <c r="Z37" s="134"/>
      <c r="AA37" s="134"/>
      <c r="AB37" s="135"/>
      <c r="AC37" s="135"/>
      <c r="AD37" s="135"/>
      <c r="AE37" s="135"/>
      <c r="AF37" s="135"/>
      <c r="AG37" s="135"/>
      <c r="AH37" s="135"/>
      <c r="AI37" s="135"/>
      <c r="AJ37" s="135"/>
    </row>
    <row r="38" spans="1:36" s="133" customFormat="1" x14ac:dyDescent="0.25">
      <c r="A38" s="220" t="s">
        <v>263</v>
      </c>
      <c r="B38" s="221">
        <v>16</v>
      </c>
      <c r="C38" s="211">
        <v>0.05</v>
      </c>
      <c r="D38" s="213" t="s">
        <v>50</v>
      </c>
      <c r="E38" s="214">
        <v>2807</v>
      </c>
      <c r="F38" s="120">
        <f>E38*C38</f>
        <v>140.35</v>
      </c>
      <c r="G38" s="125">
        <f t="shared" si="3"/>
        <v>4.2083958020989511</v>
      </c>
      <c r="H38" s="120">
        <f t="shared" si="4"/>
        <v>112280</v>
      </c>
      <c r="I38" s="151"/>
      <c r="J38" s="132"/>
      <c r="K38" s="130"/>
      <c r="L38" s="130"/>
      <c r="M38" s="151"/>
      <c r="N38" s="130"/>
      <c r="O38" s="130"/>
      <c r="P38" s="130"/>
      <c r="Q38" s="130"/>
      <c r="R38" s="130"/>
      <c r="S38" s="130"/>
      <c r="T38" s="130"/>
      <c r="U38" s="130"/>
      <c r="X38" s="134"/>
      <c r="Y38" s="134"/>
      <c r="Z38" s="134"/>
      <c r="AA38" s="134"/>
      <c r="AB38" s="135"/>
      <c r="AC38" s="135"/>
      <c r="AD38" s="135"/>
      <c r="AE38" s="135"/>
      <c r="AF38" s="135"/>
      <c r="AG38" s="135"/>
      <c r="AH38" s="135"/>
      <c r="AI38" s="135"/>
      <c r="AJ38" s="135"/>
    </row>
    <row r="39" spans="1:36" s="133" customFormat="1" ht="27.6" x14ac:dyDescent="0.25">
      <c r="A39" s="220" t="s">
        <v>99</v>
      </c>
      <c r="B39" s="221">
        <v>17</v>
      </c>
      <c r="C39" s="212">
        <v>1</v>
      </c>
      <c r="D39" s="213" t="s">
        <v>48</v>
      </c>
      <c r="E39" s="214">
        <v>33</v>
      </c>
      <c r="F39" s="120">
        <f t="shared" si="5"/>
        <v>33</v>
      </c>
      <c r="G39" s="125">
        <f t="shared" si="3"/>
        <v>0.98950524737631196</v>
      </c>
      <c r="H39" s="120">
        <f>F39*$B$4</f>
        <v>26400</v>
      </c>
      <c r="I39" s="151"/>
      <c r="J39" s="132"/>
      <c r="K39" s="130"/>
      <c r="L39" s="130"/>
      <c r="M39" s="151"/>
      <c r="N39" s="130"/>
      <c r="O39" s="130"/>
      <c r="P39" s="130"/>
      <c r="Q39" s="130"/>
      <c r="R39" s="130"/>
      <c r="S39" s="130"/>
      <c r="T39" s="130"/>
      <c r="U39" s="130"/>
      <c r="X39" s="134"/>
      <c r="Y39" s="134"/>
      <c r="Z39" s="134"/>
      <c r="AA39" s="134"/>
      <c r="AB39" s="135"/>
      <c r="AC39" s="135"/>
      <c r="AD39" s="135"/>
      <c r="AE39" s="135"/>
      <c r="AF39" s="135"/>
      <c r="AG39" s="135"/>
      <c r="AH39" s="135"/>
      <c r="AI39" s="135"/>
      <c r="AJ39" s="135"/>
    </row>
    <row r="40" spans="1:36" s="133" customFormat="1" x14ac:dyDescent="0.25">
      <c r="A40" s="220" t="s">
        <v>62</v>
      </c>
      <c r="B40" s="221">
        <v>18</v>
      </c>
      <c r="C40" s="212">
        <v>1</v>
      </c>
      <c r="D40" s="213" t="s">
        <v>48</v>
      </c>
      <c r="E40" s="214">
        <v>32</v>
      </c>
      <c r="F40" s="120">
        <f t="shared" si="5"/>
        <v>32</v>
      </c>
      <c r="G40" s="125">
        <f t="shared" si="3"/>
        <v>0.95952023988006019</v>
      </c>
      <c r="H40" s="120">
        <f t="shared" si="4"/>
        <v>25600</v>
      </c>
      <c r="I40" s="151"/>
      <c r="J40" s="132"/>
      <c r="K40" s="130"/>
      <c r="L40" s="130"/>
      <c r="M40" s="151"/>
      <c r="N40" s="130"/>
      <c r="O40" s="130"/>
      <c r="P40" s="130"/>
      <c r="Q40" s="130"/>
      <c r="R40" s="130"/>
      <c r="S40" s="130"/>
      <c r="T40" s="130"/>
      <c r="U40" s="130"/>
      <c r="X40" s="134"/>
      <c r="Y40" s="134"/>
      <c r="Z40" s="134"/>
      <c r="AA40" s="134"/>
      <c r="AB40" s="135"/>
      <c r="AC40" s="135"/>
      <c r="AD40" s="135"/>
      <c r="AE40" s="135"/>
      <c r="AF40" s="135"/>
      <c r="AG40" s="135"/>
      <c r="AH40" s="135"/>
      <c r="AI40" s="135"/>
      <c r="AJ40" s="135"/>
    </row>
    <row r="41" spans="1:36" s="133" customFormat="1" x14ac:dyDescent="0.25">
      <c r="A41" s="220" t="s">
        <v>63</v>
      </c>
      <c r="B41" s="221">
        <v>19</v>
      </c>
      <c r="C41" s="212">
        <v>1</v>
      </c>
      <c r="D41" s="213" t="s">
        <v>48</v>
      </c>
      <c r="E41" s="214">
        <v>305</v>
      </c>
      <c r="F41" s="120">
        <f t="shared" si="5"/>
        <v>305</v>
      </c>
      <c r="G41" s="125">
        <f t="shared" si="3"/>
        <v>9.1454272863568224</v>
      </c>
      <c r="H41" s="120">
        <f>F41*$B$4</f>
        <v>244000</v>
      </c>
      <c r="I41" s="151"/>
      <c r="J41" s="132"/>
      <c r="K41" s="130"/>
      <c r="L41" s="130"/>
      <c r="M41" s="151"/>
      <c r="N41" s="130"/>
      <c r="O41" s="130"/>
      <c r="P41" s="130"/>
      <c r="Q41" s="130"/>
      <c r="R41" s="130"/>
      <c r="S41" s="130"/>
      <c r="T41" s="130"/>
      <c r="U41" s="130"/>
      <c r="X41" s="134"/>
      <c r="Y41" s="134"/>
      <c r="Z41" s="134"/>
      <c r="AA41" s="134"/>
      <c r="AB41" s="135"/>
      <c r="AC41" s="135"/>
      <c r="AD41" s="135"/>
      <c r="AE41" s="135"/>
      <c r="AF41" s="135"/>
      <c r="AG41" s="135"/>
      <c r="AH41" s="135"/>
      <c r="AI41" s="135"/>
      <c r="AJ41" s="135"/>
    </row>
    <row r="42" spans="1:36" s="133" customFormat="1" x14ac:dyDescent="0.25">
      <c r="A42" s="220" t="s">
        <v>122</v>
      </c>
      <c r="B42" s="221">
        <v>20</v>
      </c>
      <c r="C42" s="212">
        <v>1</v>
      </c>
      <c r="D42" s="213" t="s">
        <v>48</v>
      </c>
      <c r="E42" s="214">
        <v>900</v>
      </c>
      <c r="F42" s="120">
        <f t="shared" si="5"/>
        <v>900</v>
      </c>
      <c r="G42" s="125">
        <f t="shared" si="3"/>
        <v>26.986506746626691</v>
      </c>
      <c r="H42" s="120">
        <f t="shared" si="4"/>
        <v>720000</v>
      </c>
      <c r="I42" s="151"/>
      <c r="J42" s="132"/>
      <c r="K42" s="130"/>
      <c r="L42" s="130"/>
      <c r="M42" s="151"/>
      <c r="N42" s="130"/>
      <c r="O42" s="130"/>
      <c r="P42" s="130"/>
      <c r="Q42" s="130"/>
      <c r="R42" s="130"/>
      <c r="S42" s="130"/>
      <c r="T42" s="130"/>
      <c r="U42" s="130"/>
      <c r="X42" s="134"/>
      <c r="Y42" s="134"/>
      <c r="Z42" s="134"/>
      <c r="AA42" s="134"/>
      <c r="AB42" s="135"/>
      <c r="AC42" s="135"/>
      <c r="AD42" s="135"/>
      <c r="AE42" s="135"/>
      <c r="AF42" s="135"/>
      <c r="AG42" s="135"/>
      <c r="AH42" s="135"/>
      <c r="AI42" s="135"/>
      <c r="AJ42" s="135"/>
    </row>
    <row r="43" spans="1:36" s="133" customFormat="1" x14ac:dyDescent="0.25">
      <c r="A43" s="220" t="s">
        <v>76</v>
      </c>
      <c r="B43" s="221">
        <v>21</v>
      </c>
      <c r="C43" s="212">
        <v>1</v>
      </c>
      <c r="D43" s="213" t="s">
        <v>48</v>
      </c>
      <c r="E43" s="214">
        <v>350</v>
      </c>
      <c r="F43" s="120">
        <f t="shared" si="5"/>
        <v>350</v>
      </c>
      <c r="G43" s="125">
        <f t="shared" si="3"/>
        <v>10.494752623688157</v>
      </c>
      <c r="H43" s="120">
        <f t="shared" si="4"/>
        <v>280000</v>
      </c>
      <c r="I43" s="151"/>
      <c r="J43" s="132"/>
      <c r="K43" s="130"/>
      <c r="L43" s="130"/>
      <c r="M43" s="151"/>
      <c r="N43" s="130"/>
      <c r="O43" s="130"/>
      <c r="P43" s="130"/>
      <c r="Q43" s="130"/>
      <c r="R43" s="130"/>
      <c r="S43" s="130"/>
      <c r="T43" s="130"/>
      <c r="U43" s="130"/>
      <c r="X43" s="134"/>
      <c r="Y43" s="134"/>
      <c r="Z43" s="134"/>
      <c r="AA43" s="134"/>
      <c r="AB43" s="135"/>
      <c r="AC43" s="135"/>
      <c r="AD43" s="135"/>
      <c r="AE43" s="135"/>
      <c r="AF43" s="135"/>
      <c r="AG43" s="135"/>
      <c r="AH43" s="135"/>
      <c r="AI43" s="135"/>
      <c r="AJ43" s="135"/>
    </row>
    <row r="44" spans="1:36" s="133" customFormat="1" x14ac:dyDescent="0.25">
      <c r="A44" s="161"/>
      <c r="B44" s="162" t="s">
        <v>64</v>
      </c>
      <c r="C44" s="163"/>
      <c r="D44" s="162"/>
      <c r="E44" s="164"/>
      <c r="F44" s="42">
        <f>SUM(F29:F43)</f>
        <v>11404.2384</v>
      </c>
      <c r="G44" s="184">
        <f>F44/$B$5</f>
        <v>341.95617391304353</v>
      </c>
      <c r="H44" s="121">
        <f>F44*$B$4</f>
        <v>9123390.7200000007</v>
      </c>
      <c r="I44" s="151"/>
      <c r="J44" s="132"/>
      <c r="K44" s="130"/>
      <c r="L44" s="130"/>
      <c r="M44" s="151"/>
      <c r="N44" s="130"/>
      <c r="O44" s="130"/>
      <c r="P44" s="130"/>
      <c r="Q44" s="130"/>
      <c r="R44" s="130"/>
      <c r="S44" s="130"/>
      <c r="T44" s="130"/>
      <c r="U44" s="130"/>
      <c r="X44" s="134"/>
      <c r="Y44" s="134"/>
      <c r="Z44" s="134"/>
      <c r="AA44" s="134"/>
      <c r="AB44" s="135"/>
      <c r="AC44" s="135"/>
      <c r="AD44" s="135"/>
      <c r="AE44" s="135"/>
      <c r="AF44" s="135"/>
      <c r="AG44" s="135"/>
      <c r="AH44" s="135"/>
      <c r="AI44" s="135"/>
      <c r="AJ44" s="135"/>
    </row>
    <row r="45" spans="1:36" s="133" customFormat="1" x14ac:dyDescent="0.25">
      <c r="A45" s="222" t="s">
        <v>131</v>
      </c>
      <c r="B45" s="225">
        <v>22</v>
      </c>
      <c r="C45" s="211">
        <v>0.55000000000000004</v>
      </c>
      <c r="D45" s="226" t="s">
        <v>74</v>
      </c>
      <c r="E45" s="120">
        <f>Investeringskalkyl!$F$71</f>
        <v>44624.875</v>
      </c>
      <c r="F45" s="120">
        <f>C45/100*E45</f>
        <v>245.43681250000003</v>
      </c>
      <c r="G45" s="125">
        <f>F45/$B$5</f>
        <v>7.3594246626686681</v>
      </c>
      <c r="H45" s="120">
        <f>F45*$B$4</f>
        <v>196349.45</v>
      </c>
      <c r="I45" s="151"/>
      <c r="J45" s="132"/>
      <c r="K45" s="130"/>
      <c r="L45" s="130"/>
      <c r="M45" s="151"/>
      <c r="N45" s="130"/>
      <c r="O45" s="130"/>
      <c r="P45" s="130"/>
      <c r="Q45" s="130"/>
      <c r="R45" s="130"/>
      <c r="S45" s="130"/>
      <c r="T45" s="130"/>
      <c r="U45" s="130"/>
      <c r="X45" s="134"/>
      <c r="Y45" s="134"/>
      <c r="Z45" s="134"/>
      <c r="AA45" s="134"/>
      <c r="AB45" s="135"/>
      <c r="AC45" s="135"/>
      <c r="AD45" s="135"/>
      <c r="AE45" s="135"/>
      <c r="AF45" s="135"/>
      <c r="AG45" s="135"/>
      <c r="AH45" s="135"/>
      <c r="AI45" s="135"/>
      <c r="AJ45" s="135"/>
    </row>
    <row r="46" spans="1:36" s="133" customFormat="1" x14ac:dyDescent="0.25">
      <c r="A46" s="222" t="s">
        <v>65</v>
      </c>
      <c r="B46" s="223" t="s">
        <v>84</v>
      </c>
      <c r="C46" s="227">
        <f>($E$19+$E$29)/2</f>
        <v>2271.8249999999998</v>
      </c>
      <c r="D46" s="226" t="s">
        <v>48</v>
      </c>
      <c r="E46" s="123">
        <f>Investeringskalkyl!$B$23</f>
        <v>0.05</v>
      </c>
      <c r="F46" s="120">
        <f t="shared" ref="F46" si="9">C46*E46</f>
        <v>113.59125</v>
      </c>
      <c r="G46" s="125">
        <f t="shared" si="3"/>
        <v>3.4060344827586215</v>
      </c>
      <c r="H46" s="120">
        <f t="shared" ref="H46" si="10">F46*$B$4</f>
        <v>90873</v>
      </c>
      <c r="I46" s="151"/>
      <c r="J46" s="132"/>
      <c r="K46" s="130"/>
      <c r="L46" s="130"/>
      <c r="M46" s="151"/>
      <c r="N46" s="130"/>
      <c r="O46" s="130"/>
      <c r="P46" s="130"/>
      <c r="Q46" s="130"/>
      <c r="R46" s="130"/>
      <c r="S46" s="130"/>
      <c r="T46" s="130"/>
      <c r="U46" s="130"/>
      <c r="X46" s="134"/>
      <c r="Y46" s="134"/>
      <c r="Z46" s="134"/>
      <c r="AA46" s="134"/>
      <c r="AB46" s="135"/>
      <c r="AC46" s="135"/>
      <c r="AD46" s="135"/>
      <c r="AE46" s="135"/>
      <c r="AF46" s="135"/>
      <c r="AG46" s="135"/>
      <c r="AH46" s="135"/>
      <c r="AI46" s="135"/>
      <c r="AJ46" s="135"/>
    </row>
    <row r="47" spans="1:36" s="133" customFormat="1" x14ac:dyDescent="0.25">
      <c r="A47" s="222" t="s">
        <v>124</v>
      </c>
      <c r="B47" s="223" t="s">
        <v>84</v>
      </c>
      <c r="C47" s="227">
        <f>(($F$44-$F$29)+SUM(F50:F53))/2</f>
        <v>6130.7892000000002</v>
      </c>
      <c r="D47" s="226" t="s">
        <v>48</v>
      </c>
      <c r="E47" s="123">
        <f>Investeringskalkyl!$B$23</f>
        <v>0.05</v>
      </c>
      <c r="F47" s="120">
        <f t="shared" ref="F47" si="11">C47*E47</f>
        <v>306.53946000000002</v>
      </c>
      <c r="G47" s="125">
        <f t="shared" si="3"/>
        <v>9.1915880059970032</v>
      </c>
      <c r="H47" s="120">
        <f t="shared" ref="H47" si="12">F47*$B$4</f>
        <v>245231.56800000003</v>
      </c>
      <c r="I47" s="151"/>
      <c r="J47" s="132"/>
      <c r="K47" s="130"/>
      <c r="L47" s="130"/>
      <c r="M47" s="151"/>
      <c r="N47" s="130"/>
      <c r="O47" s="130"/>
      <c r="P47" s="130"/>
      <c r="Q47" s="130"/>
      <c r="R47" s="130"/>
      <c r="S47" s="130"/>
      <c r="T47" s="130"/>
      <c r="U47" s="130"/>
      <c r="X47" s="134"/>
      <c r="Y47" s="134"/>
      <c r="Z47" s="134"/>
      <c r="AA47" s="134"/>
      <c r="AB47" s="135"/>
      <c r="AC47" s="135"/>
      <c r="AD47" s="135"/>
      <c r="AE47" s="135"/>
      <c r="AF47" s="135"/>
      <c r="AG47" s="135"/>
      <c r="AH47" s="135"/>
      <c r="AI47" s="135"/>
      <c r="AJ47" s="135"/>
    </row>
    <row r="48" spans="1:36" s="133" customFormat="1" x14ac:dyDescent="0.25">
      <c r="A48" s="165"/>
      <c r="B48" s="162" t="s">
        <v>66</v>
      </c>
      <c r="C48" s="166" t="s">
        <v>47</v>
      </c>
      <c r="D48" s="162"/>
      <c r="E48" s="164" t="s">
        <v>47</v>
      </c>
      <c r="F48" s="42">
        <f>SUM(F45:F47)</f>
        <v>665.5675225</v>
      </c>
      <c r="G48" s="184">
        <f>F48/$B$5</f>
        <v>19.957047151424291</v>
      </c>
      <c r="H48" s="121">
        <f>F48*$B$4</f>
        <v>532454.01800000004</v>
      </c>
      <c r="I48" s="151"/>
      <c r="J48" s="132"/>
      <c r="K48" s="130"/>
      <c r="L48" s="130"/>
      <c r="M48" s="151"/>
      <c r="N48" s="130"/>
      <c r="O48" s="130"/>
      <c r="P48" s="130"/>
      <c r="Q48" s="130"/>
      <c r="R48" s="130"/>
      <c r="S48" s="130"/>
      <c r="T48" s="130"/>
      <c r="U48" s="130"/>
      <c r="X48" s="134"/>
      <c r="Y48" s="134"/>
      <c r="Z48" s="134"/>
      <c r="AA48" s="134"/>
      <c r="AB48" s="135"/>
      <c r="AC48" s="135"/>
      <c r="AD48" s="135"/>
      <c r="AE48" s="135"/>
      <c r="AF48" s="135"/>
      <c r="AG48" s="135"/>
      <c r="AH48" s="135"/>
      <c r="AI48" s="135"/>
      <c r="AJ48" s="135"/>
    </row>
    <row r="49" spans="1:38" s="133" customFormat="1" x14ac:dyDescent="0.25">
      <c r="A49" s="222" t="s">
        <v>67</v>
      </c>
      <c r="B49" s="223" t="s">
        <v>84</v>
      </c>
      <c r="C49" s="124">
        <f>IF(Investeringskalkyl!$C$14="suggor",1,0)</f>
        <v>1</v>
      </c>
      <c r="D49" s="112" t="s">
        <v>48</v>
      </c>
      <c r="E49" s="125">
        <f>Investeringskalkyl!$F$72*(Investeringskalkyl!$B$23/(1-(1+Investeringskalkyl!$B$23)^(-Investeringskalkyl!$B$26)))</f>
        <v>4154.7491103627126</v>
      </c>
      <c r="F49" s="120">
        <f>C49*E49</f>
        <v>4154.7491103627126</v>
      </c>
      <c r="G49" s="125">
        <f t="shared" si="3"/>
        <v>124.58018321927176</v>
      </c>
      <c r="H49" s="120">
        <f>F49*$B$4</f>
        <v>3323799.28829017</v>
      </c>
      <c r="I49" s="151"/>
      <c r="J49" s="132"/>
      <c r="K49" s="130"/>
      <c r="L49" s="130"/>
      <c r="M49" s="151"/>
      <c r="N49" s="130"/>
      <c r="O49" s="130"/>
      <c r="P49" s="130"/>
      <c r="Q49" s="130"/>
      <c r="R49" s="130"/>
      <c r="S49" s="130"/>
      <c r="T49" s="130"/>
      <c r="U49" s="130"/>
      <c r="X49" s="134"/>
      <c r="Y49" s="134"/>
      <c r="Z49" s="134"/>
      <c r="AA49" s="134"/>
      <c r="AB49" s="135"/>
      <c r="AC49" s="135"/>
      <c r="AD49" s="135"/>
      <c r="AE49" s="135"/>
      <c r="AF49" s="135"/>
      <c r="AG49" s="135"/>
      <c r="AH49" s="135"/>
      <c r="AI49" s="135"/>
      <c r="AJ49" s="135"/>
    </row>
    <row r="50" spans="1:38" s="133" customFormat="1" x14ac:dyDescent="0.25">
      <c r="A50" s="220" t="s">
        <v>79</v>
      </c>
      <c r="B50" s="221">
        <v>23</v>
      </c>
      <c r="C50" s="212">
        <v>1</v>
      </c>
      <c r="D50" s="213" t="s">
        <v>48</v>
      </c>
      <c r="E50" s="215">
        <v>80</v>
      </c>
      <c r="F50" s="120">
        <f t="shared" ref="F50:F52" si="13">C50*E50</f>
        <v>80</v>
      </c>
      <c r="G50" s="125">
        <f t="shared" si="3"/>
        <v>2.3988005997001505</v>
      </c>
      <c r="H50" s="120">
        <f t="shared" ref="H50:H52" si="14">F50*$B$4</f>
        <v>64000</v>
      </c>
      <c r="I50" s="151"/>
      <c r="J50" s="132"/>
      <c r="K50" s="130"/>
      <c r="L50" s="130"/>
      <c r="M50" s="151"/>
      <c r="N50" s="130"/>
      <c r="O50" s="130"/>
      <c r="P50" s="130"/>
      <c r="Q50" s="130"/>
      <c r="R50" s="130"/>
      <c r="S50" s="130"/>
      <c r="T50" s="130"/>
      <c r="U50" s="130"/>
      <c r="X50" s="134"/>
      <c r="Y50" s="134"/>
      <c r="Z50" s="134"/>
      <c r="AA50" s="134"/>
      <c r="AB50" s="135"/>
      <c r="AC50" s="135"/>
      <c r="AD50" s="135"/>
      <c r="AE50" s="135"/>
      <c r="AF50" s="135"/>
      <c r="AG50" s="135"/>
      <c r="AH50" s="135"/>
      <c r="AI50" s="135"/>
      <c r="AJ50" s="135"/>
    </row>
    <row r="51" spans="1:38" s="133" customFormat="1" x14ac:dyDescent="0.25">
      <c r="A51" s="220" t="s">
        <v>80</v>
      </c>
      <c r="B51" s="224">
        <v>24</v>
      </c>
      <c r="C51" s="212">
        <v>1</v>
      </c>
      <c r="D51" s="213" t="s">
        <v>48</v>
      </c>
      <c r="E51" s="216">
        <v>19.899999999999999</v>
      </c>
      <c r="F51" s="120">
        <f t="shared" si="13"/>
        <v>19.899999999999999</v>
      </c>
      <c r="G51" s="125">
        <f t="shared" si="3"/>
        <v>0.59670164917541235</v>
      </c>
      <c r="H51" s="120">
        <f t="shared" si="14"/>
        <v>15919.999999999998</v>
      </c>
      <c r="I51" s="130"/>
      <c r="J51" s="132"/>
      <c r="K51" s="132"/>
      <c r="L51" s="130"/>
      <c r="M51" s="151"/>
      <c r="N51" s="130"/>
      <c r="O51" s="130"/>
      <c r="P51" s="130"/>
      <c r="Q51" s="130"/>
      <c r="R51" s="130"/>
      <c r="S51" s="130"/>
      <c r="T51" s="130"/>
      <c r="U51" s="130"/>
      <c r="X51" s="134"/>
      <c r="Y51" s="134"/>
      <c r="Z51" s="134"/>
      <c r="AA51" s="134"/>
      <c r="AB51" s="135"/>
      <c r="AC51" s="135"/>
      <c r="AD51" s="135"/>
      <c r="AE51" s="135"/>
      <c r="AF51" s="135"/>
      <c r="AG51" s="135"/>
      <c r="AH51" s="135"/>
      <c r="AI51" s="135"/>
      <c r="AJ51" s="135"/>
    </row>
    <row r="52" spans="1:38" s="133" customFormat="1" x14ac:dyDescent="0.25">
      <c r="A52" s="220" t="s">
        <v>73</v>
      </c>
      <c r="B52" s="221">
        <v>25</v>
      </c>
      <c r="C52" s="217">
        <v>9</v>
      </c>
      <c r="D52" s="213" t="s">
        <v>68</v>
      </c>
      <c r="E52" s="214">
        <v>230</v>
      </c>
      <c r="F52" s="120">
        <f t="shared" si="13"/>
        <v>2070</v>
      </c>
      <c r="G52" s="125">
        <f t="shared" si="3"/>
        <v>62.068965517241388</v>
      </c>
      <c r="H52" s="120">
        <f t="shared" si="14"/>
        <v>1656000</v>
      </c>
      <c r="I52" s="151"/>
      <c r="J52" s="132"/>
      <c r="K52" s="130"/>
      <c r="L52" s="130"/>
      <c r="M52" s="151"/>
      <c r="N52" s="130"/>
      <c r="O52" s="130"/>
      <c r="P52" s="130"/>
      <c r="Q52" s="130"/>
      <c r="R52" s="130"/>
      <c r="S52" s="130"/>
      <c r="T52" s="130"/>
      <c r="U52" s="130"/>
      <c r="X52" s="134"/>
      <c r="Y52" s="134"/>
      <c r="Z52" s="134"/>
      <c r="AA52" s="134"/>
      <c r="AB52" s="135"/>
      <c r="AC52" s="135"/>
      <c r="AD52" s="135"/>
      <c r="AE52" s="135"/>
      <c r="AF52" s="135"/>
      <c r="AG52" s="135"/>
      <c r="AH52" s="135"/>
      <c r="AI52" s="135"/>
      <c r="AJ52" s="135"/>
    </row>
    <row r="53" spans="1:38" s="133" customFormat="1" x14ac:dyDescent="0.25">
      <c r="A53" s="220" t="s">
        <v>118</v>
      </c>
      <c r="B53" s="221">
        <v>26</v>
      </c>
      <c r="C53" s="211">
        <f>500/800</f>
        <v>0.625</v>
      </c>
      <c r="D53" s="213" t="s">
        <v>68</v>
      </c>
      <c r="E53" s="214">
        <v>240</v>
      </c>
      <c r="F53" s="120">
        <f t="shared" ref="F53" si="15">C53*E53</f>
        <v>150</v>
      </c>
      <c r="G53" s="125">
        <f t="shared" si="3"/>
        <v>4.4977511244377819</v>
      </c>
      <c r="H53" s="120">
        <f t="shared" ref="H53" si="16">F53*$B$4</f>
        <v>120000</v>
      </c>
      <c r="I53" s="151"/>
      <c r="J53" s="132"/>
      <c r="K53" s="130"/>
      <c r="L53" s="130"/>
      <c r="M53" s="151"/>
      <c r="N53" s="130"/>
      <c r="O53" s="130"/>
      <c r="P53" s="130"/>
      <c r="Q53" s="130"/>
      <c r="R53" s="130"/>
      <c r="S53" s="130"/>
      <c r="T53" s="130"/>
      <c r="U53" s="130"/>
      <c r="X53" s="134"/>
      <c r="Y53" s="134"/>
      <c r="Z53" s="134"/>
      <c r="AA53" s="134"/>
      <c r="AB53" s="135"/>
      <c r="AC53" s="135"/>
      <c r="AD53" s="135"/>
      <c r="AE53" s="135"/>
      <c r="AF53" s="135"/>
      <c r="AG53" s="135"/>
      <c r="AH53" s="135"/>
      <c r="AI53" s="135"/>
      <c r="AJ53" s="135"/>
    </row>
    <row r="54" spans="1:38" s="133" customFormat="1" x14ac:dyDescent="0.25">
      <c r="A54" s="167"/>
      <c r="B54" s="162" t="s">
        <v>69</v>
      </c>
      <c r="C54" s="163"/>
      <c r="D54" s="162"/>
      <c r="E54" s="168"/>
      <c r="F54" s="42">
        <f>SUM(F49:F53)</f>
        <v>6474.6491103627122</v>
      </c>
      <c r="G54" s="184">
        <f>F54/$B$5</f>
        <v>194.14240210982649</v>
      </c>
      <c r="H54" s="121">
        <f>F54*$B$4</f>
        <v>5179719.28829017</v>
      </c>
      <c r="I54" s="130"/>
      <c r="J54" s="132"/>
      <c r="K54" s="132"/>
      <c r="L54" s="130"/>
      <c r="M54" s="151"/>
      <c r="N54" s="130"/>
      <c r="O54" s="130"/>
      <c r="P54" s="130"/>
      <c r="Q54" s="130"/>
      <c r="R54" s="130"/>
      <c r="S54" s="130"/>
      <c r="T54" s="130"/>
      <c r="U54" s="130"/>
      <c r="X54" s="134"/>
      <c r="Y54" s="134"/>
      <c r="Z54" s="134"/>
      <c r="AA54" s="134"/>
      <c r="AB54" s="135"/>
      <c r="AC54" s="135"/>
      <c r="AD54" s="135"/>
      <c r="AE54" s="135"/>
      <c r="AF54" s="135"/>
      <c r="AG54" s="135"/>
      <c r="AH54" s="135"/>
      <c r="AI54" s="135"/>
      <c r="AJ54" s="135"/>
    </row>
    <row r="55" spans="1:38" s="133" customFormat="1" x14ac:dyDescent="0.25">
      <c r="A55" s="161" t="s">
        <v>85</v>
      </c>
      <c r="B55" s="162"/>
      <c r="C55" s="163"/>
      <c r="D55" s="162"/>
      <c r="E55" s="168"/>
      <c r="F55" s="42">
        <f>$F$44+$F$48+$F$54</f>
        <v>18544.455032862712</v>
      </c>
      <c r="G55" s="42">
        <f>F55/$B$5</f>
        <v>556.05562317429428</v>
      </c>
      <c r="H55" s="121">
        <f>F55*$B$4</f>
        <v>14835564.026290169</v>
      </c>
      <c r="I55" s="130"/>
      <c r="J55" s="132"/>
      <c r="K55" s="132"/>
      <c r="L55" s="130"/>
      <c r="M55" s="151"/>
      <c r="N55" s="130"/>
      <c r="O55" s="130"/>
      <c r="P55" s="130"/>
      <c r="Q55" s="130"/>
      <c r="R55" s="130"/>
      <c r="S55" s="130"/>
      <c r="T55" s="130"/>
      <c r="U55" s="130"/>
      <c r="X55" s="134"/>
      <c r="Y55" s="134"/>
      <c r="Z55" s="134"/>
      <c r="AA55" s="134"/>
      <c r="AB55" s="135"/>
      <c r="AC55" s="135"/>
      <c r="AD55" s="135"/>
      <c r="AE55" s="135"/>
      <c r="AF55" s="135"/>
      <c r="AG55" s="135"/>
      <c r="AH55" s="135"/>
      <c r="AI55" s="135"/>
      <c r="AJ55" s="135"/>
    </row>
    <row r="56" spans="1:38" s="133" customFormat="1" x14ac:dyDescent="0.25">
      <c r="A56" s="113"/>
      <c r="B56" s="130"/>
      <c r="C56" s="130"/>
      <c r="D56" s="130"/>
      <c r="E56" s="130"/>
      <c r="F56" s="122"/>
      <c r="G56" s="185"/>
      <c r="H56" s="122"/>
      <c r="I56" s="130"/>
      <c r="J56" s="132"/>
      <c r="K56" s="132"/>
      <c r="L56" s="130"/>
      <c r="M56" s="151"/>
      <c r="N56" s="130"/>
      <c r="O56" s="130"/>
      <c r="P56" s="130"/>
      <c r="Q56" s="130"/>
      <c r="R56" s="130"/>
      <c r="S56" s="130"/>
      <c r="T56" s="130"/>
      <c r="U56" s="130"/>
      <c r="X56" s="134"/>
      <c r="Y56" s="134"/>
      <c r="Z56" s="134"/>
      <c r="AA56" s="134"/>
      <c r="AB56" s="135"/>
      <c r="AC56" s="135"/>
      <c r="AD56" s="135"/>
      <c r="AE56" s="135"/>
      <c r="AF56" s="135"/>
      <c r="AG56" s="135"/>
      <c r="AH56" s="135"/>
      <c r="AI56" s="135"/>
      <c r="AJ56" s="135"/>
    </row>
    <row r="57" spans="1:38" s="133" customFormat="1" x14ac:dyDescent="0.25">
      <c r="A57" s="169"/>
      <c r="C57" s="130"/>
      <c r="D57" s="130"/>
      <c r="E57" s="170"/>
      <c r="F57" s="114"/>
      <c r="G57" s="185"/>
      <c r="H57" s="171"/>
      <c r="I57" s="172"/>
      <c r="J57" s="172"/>
      <c r="K57" s="130"/>
      <c r="L57" s="132"/>
      <c r="M57" s="132"/>
      <c r="N57" s="132"/>
      <c r="O57" s="151"/>
      <c r="P57" s="130"/>
      <c r="Q57" s="130"/>
      <c r="R57" s="130"/>
      <c r="S57" s="130"/>
      <c r="T57" s="130"/>
      <c r="U57" s="130"/>
      <c r="V57" s="130"/>
      <c r="W57" s="130"/>
      <c r="Z57" s="134"/>
      <c r="AA57" s="134"/>
      <c r="AB57" s="134"/>
      <c r="AC57" s="134"/>
      <c r="AD57" s="135"/>
      <c r="AE57" s="135"/>
      <c r="AF57" s="135"/>
      <c r="AG57" s="135"/>
      <c r="AH57" s="135"/>
      <c r="AI57" s="135"/>
      <c r="AJ57" s="135"/>
      <c r="AK57" s="135"/>
      <c r="AL57" s="135"/>
    </row>
    <row r="58" spans="1:38" s="133" customFormat="1" x14ac:dyDescent="0.25">
      <c r="A58" s="169"/>
      <c r="C58" s="130"/>
      <c r="D58" s="130"/>
      <c r="E58" s="170"/>
      <c r="G58" s="185"/>
      <c r="H58" s="130"/>
      <c r="I58" s="173"/>
      <c r="J58" s="172"/>
      <c r="K58" s="130"/>
      <c r="L58" s="132"/>
      <c r="M58" s="132"/>
      <c r="N58" s="132"/>
      <c r="O58" s="151"/>
      <c r="P58" s="130"/>
      <c r="Q58" s="130"/>
      <c r="R58" s="130"/>
      <c r="S58" s="130"/>
      <c r="T58" s="130"/>
      <c r="U58" s="130"/>
      <c r="V58" s="130"/>
      <c r="W58" s="130"/>
      <c r="Z58" s="134"/>
      <c r="AA58" s="134"/>
      <c r="AB58" s="134"/>
      <c r="AC58" s="134"/>
      <c r="AD58" s="135"/>
      <c r="AE58" s="135"/>
      <c r="AF58" s="135"/>
      <c r="AG58" s="135"/>
      <c r="AH58" s="135"/>
      <c r="AI58" s="135"/>
      <c r="AJ58" s="135"/>
      <c r="AK58" s="135"/>
      <c r="AL58" s="135"/>
    </row>
    <row r="59" spans="1:38" s="133" customFormat="1" x14ac:dyDescent="0.25">
      <c r="A59" s="169"/>
      <c r="C59" s="130"/>
      <c r="D59" s="130"/>
      <c r="E59" s="170"/>
      <c r="G59" s="185"/>
      <c r="H59" s="130"/>
      <c r="I59" s="173"/>
      <c r="J59" s="172"/>
      <c r="K59" s="130"/>
      <c r="L59" s="132"/>
      <c r="M59" s="132"/>
      <c r="N59" s="132"/>
      <c r="O59" s="151"/>
      <c r="P59" s="130"/>
      <c r="Q59" s="130"/>
      <c r="R59" s="130"/>
      <c r="S59" s="130"/>
      <c r="T59" s="130"/>
      <c r="U59" s="130"/>
      <c r="V59" s="130"/>
      <c r="W59" s="130"/>
      <c r="Z59" s="134"/>
      <c r="AA59" s="134"/>
      <c r="AB59" s="134"/>
      <c r="AC59" s="134"/>
      <c r="AD59" s="135"/>
      <c r="AE59" s="135"/>
      <c r="AF59" s="135"/>
      <c r="AG59" s="135"/>
      <c r="AH59" s="135"/>
      <c r="AI59" s="135"/>
      <c r="AJ59" s="135"/>
      <c r="AK59" s="135"/>
      <c r="AL59" s="135"/>
    </row>
    <row r="60" spans="1:38" s="133" customFormat="1" x14ac:dyDescent="0.25">
      <c r="A60" s="169"/>
      <c r="C60" s="130"/>
      <c r="D60" s="130"/>
      <c r="E60" s="170"/>
      <c r="G60" s="185"/>
      <c r="H60" s="130"/>
      <c r="I60" s="172"/>
      <c r="J60" s="172"/>
      <c r="K60" s="130"/>
      <c r="L60" s="132"/>
      <c r="M60" s="132"/>
      <c r="N60" s="132"/>
      <c r="O60" s="151"/>
      <c r="P60" s="130"/>
      <c r="Q60" s="130"/>
      <c r="R60" s="130"/>
      <c r="S60" s="130"/>
      <c r="T60" s="130"/>
      <c r="U60" s="130"/>
      <c r="V60" s="130"/>
      <c r="W60" s="130"/>
      <c r="Z60" s="134"/>
      <c r="AA60" s="134"/>
      <c r="AB60" s="134"/>
      <c r="AC60" s="134"/>
      <c r="AD60" s="135"/>
      <c r="AE60" s="135"/>
      <c r="AF60" s="135"/>
      <c r="AG60" s="135"/>
      <c r="AH60" s="135"/>
      <c r="AI60" s="135"/>
      <c r="AJ60" s="135"/>
      <c r="AK60" s="135"/>
      <c r="AL60" s="135"/>
    </row>
    <row r="61" spans="1:38" s="133" customFormat="1" x14ac:dyDescent="0.25">
      <c r="A61" s="169"/>
      <c r="C61" s="130"/>
      <c r="D61" s="130"/>
      <c r="E61" s="170"/>
      <c r="G61" s="185"/>
      <c r="H61" s="130"/>
      <c r="I61" s="172"/>
      <c r="J61" s="172"/>
      <c r="K61" s="130"/>
      <c r="L61" s="132"/>
      <c r="M61" s="132"/>
      <c r="N61" s="132"/>
      <c r="O61" s="151"/>
      <c r="P61" s="130"/>
      <c r="Q61" s="130"/>
      <c r="R61" s="130"/>
      <c r="S61" s="130"/>
      <c r="T61" s="130"/>
      <c r="U61" s="130"/>
      <c r="V61" s="130"/>
      <c r="W61" s="130"/>
      <c r="Z61" s="134"/>
      <c r="AA61" s="134"/>
      <c r="AB61" s="134"/>
      <c r="AC61" s="134"/>
      <c r="AD61" s="135"/>
      <c r="AE61" s="135"/>
      <c r="AF61" s="135"/>
      <c r="AG61" s="135"/>
      <c r="AH61" s="135"/>
      <c r="AI61" s="135"/>
      <c r="AJ61" s="135"/>
      <c r="AK61" s="135"/>
      <c r="AL61" s="135"/>
    </row>
    <row r="62" spans="1:38" s="133" customFormat="1" x14ac:dyDescent="0.25">
      <c r="A62" s="169"/>
      <c r="C62" s="130"/>
      <c r="D62" s="130"/>
      <c r="E62" s="170"/>
      <c r="G62" s="132"/>
      <c r="H62" s="130"/>
      <c r="I62" s="132"/>
      <c r="J62" s="132"/>
      <c r="K62" s="151"/>
      <c r="L62" s="130"/>
      <c r="M62" s="130"/>
      <c r="N62" s="130"/>
      <c r="O62" s="130"/>
      <c r="P62" s="130"/>
      <c r="Q62" s="130"/>
      <c r="R62" s="130"/>
      <c r="S62" s="130"/>
      <c r="V62" s="134"/>
      <c r="W62" s="134"/>
      <c r="X62" s="134"/>
      <c r="Y62" s="134"/>
      <c r="Z62" s="135"/>
      <c r="AA62" s="135"/>
      <c r="AB62" s="135"/>
      <c r="AC62" s="135"/>
      <c r="AD62" s="135"/>
      <c r="AE62" s="135"/>
      <c r="AF62" s="135"/>
      <c r="AG62" s="135"/>
      <c r="AH62" s="135"/>
    </row>
    <row r="63" spans="1:38" s="133" customFormat="1" x14ac:dyDescent="0.25">
      <c r="A63" s="169"/>
      <c r="C63" s="130"/>
      <c r="D63" s="130"/>
      <c r="E63" s="170"/>
      <c r="G63" s="132"/>
      <c r="H63" s="130"/>
      <c r="I63" s="132"/>
      <c r="J63" s="132"/>
      <c r="K63" s="151"/>
      <c r="L63" s="130"/>
      <c r="M63" s="130"/>
      <c r="N63" s="130"/>
      <c r="O63" s="130"/>
      <c r="P63" s="130"/>
      <c r="Q63" s="130"/>
      <c r="R63" s="130"/>
      <c r="S63" s="130"/>
      <c r="V63" s="134"/>
      <c r="W63" s="134"/>
      <c r="X63" s="134"/>
      <c r="Y63" s="134"/>
      <c r="Z63" s="135"/>
      <c r="AA63" s="135"/>
      <c r="AB63" s="135"/>
      <c r="AC63" s="135"/>
      <c r="AD63" s="135"/>
      <c r="AE63" s="135"/>
      <c r="AF63" s="135"/>
      <c r="AG63" s="135"/>
      <c r="AH63" s="135"/>
    </row>
    <row r="64" spans="1:38" s="133" customFormat="1" x14ac:dyDescent="0.25">
      <c r="C64" s="130"/>
      <c r="D64" s="130"/>
      <c r="E64" s="170"/>
      <c r="G64" s="132"/>
      <c r="H64" s="130"/>
      <c r="I64" s="132"/>
      <c r="J64" s="132"/>
      <c r="K64" s="151"/>
      <c r="L64" s="130"/>
      <c r="M64" s="130"/>
      <c r="N64" s="130"/>
      <c r="O64" s="130"/>
      <c r="P64" s="130"/>
      <c r="Q64" s="130"/>
      <c r="R64" s="130"/>
      <c r="S64" s="130"/>
      <c r="V64" s="134"/>
      <c r="W64" s="134"/>
      <c r="X64" s="134"/>
      <c r="Y64" s="134"/>
      <c r="Z64" s="135"/>
      <c r="AA64" s="135"/>
      <c r="AB64" s="135"/>
      <c r="AC64" s="135"/>
      <c r="AD64" s="135"/>
      <c r="AE64" s="135"/>
      <c r="AF64" s="135"/>
      <c r="AG64" s="135"/>
      <c r="AH64" s="135"/>
    </row>
    <row r="65" spans="2:31" s="133" customFormat="1" x14ac:dyDescent="0.25">
      <c r="C65" s="130"/>
      <c r="D65" s="130"/>
      <c r="E65" s="170"/>
      <c r="G65" s="132"/>
      <c r="H65" s="130"/>
      <c r="I65" s="132"/>
      <c r="J65" s="132"/>
      <c r="K65" s="151"/>
      <c r="L65" s="130"/>
      <c r="M65" s="130"/>
      <c r="N65" s="130"/>
      <c r="O65" s="130"/>
      <c r="P65" s="130"/>
      <c r="Q65" s="130"/>
      <c r="R65" s="130"/>
      <c r="S65" s="130"/>
      <c r="V65" s="134"/>
      <c r="W65" s="134"/>
      <c r="X65" s="134"/>
      <c r="Y65" s="134"/>
      <c r="Z65" s="135"/>
      <c r="AA65" s="135"/>
      <c r="AB65" s="135"/>
      <c r="AC65" s="135"/>
      <c r="AD65" s="135"/>
      <c r="AE65" s="135"/>
    </row>
    <row r="66" spans="2:31" s="133" customFormat="1" x14ac:dyDescent="0.25">
      <c r="C66" s="130"/>
      <c r="D66" s="130"/>
      <c r="E66" s="170"/>
      <c r="G66" s="132"/>
      <c r="H66" s="130"/>
      <c r="I66" s="132"/>
      <c r="J66" s="132"/>
      <c r="K66" s="151"/>
      <c r="L66" s="130"/>
      <c r="M66" s="130"/>
      <c r="N66" s="130"/>
      <c r="O66" s="130"/>
      <c r="P66" s="130"/>
      <c r="Q66" s="130"/>
      <c r="R66" s="130"/>
      <c r="S66" s="130"/>
      <c r="V66" s="134"/>
      <c r="W66" s="134"/>
      <c r="X66" s="134"/>
      <c r="Y66" s="134"/>
      <c r="Z66" s="135"/>
      <c r="AA66" s="135"/>
      <c r="AB66" s="135"/>
      <c r="AC66" s="135"/>
      <c r="AD66" s="135"/>
      <c r="AE66" s="135"/>
    </row>
    <row r="67" spans="2:31" s="133" customFormat="1" x14ac:dyDescent="0.25">
      <c r="C67" s="130"/>
      <c r="D67" s="130"/>
      <c r="E67" s="170"/>
      <c r="G67" s="132"/>
      <c r="H67" s="130"/>
      <c r="I67" s="132"/>
      <c r="J67" s="132"/>
      <c r="K67" s="151"/>
      <c r="L67" s="130"/>
      <c r="M67" s="130"/>
      <c r="N67" s="130"/>
      <c r="O67" s="130"/>
      <c r="P67" s="130"/>
      <c r="Q67" s="130"/>
      <c r="R67" s="130"/>
      <c r="S67" s="130"/>
      <c r="V67" s="134"/>
      <c r="W67" s="134"/>
      <c r="X67" s="134"/>
      <c r="Y67" s="134"/>
      <c r="Z67" s="135"/>
      <c r="AA67" s="135"/>
      <c r="AB67" s="135"/>
      <c r="AC67" s="135"/>
      <c r="AD67" s="135"/>
      <c r="AE67" s="135"/>
    </row>
    <row r="68" spans="2:31" x14ac:dyDescent="0.25">
      <c r="C68" s="130"/>
      <c r="D68" s="130"/>
      <c r="E68" s="170"/>
      <c r="F68" s="133"/>
      <c r="H68" s="130"/>
    </row>
    <row r="69" spans="2:31" x14ac:dyDescent="0.25">
      <c r="C69" s="130"/>
      <c r="D69" s="130"/>
      <c r="E69" s="170"/>
      <c r="F69" s="133"/>
      <c r="H69" s="130"/>
    </row>
    <row r="70" spans="2:31" x14ac:dyDescent="0.25">
      <c r="B70" s="174"/>
    </row>
    <row r="71" spans="2:31" x14ac:dyDescent="0.25">
      <c r="B71" s="174"/>
    </row>
    <row r="72" spans="2:31" x14ac:dyDescent="0.25">
      <c r="B72" s="174"/>
    </row>
  </sheetData>
  <printOptions horizontalCentered="1" verticalCentered="1"/>
  <pageMargins left="0.23622047244094491" right="0.23622047244094491" top="0.74803149606299213" bottom="0.74803149606299213" header="0.31496062992125984" footer="0.31496062992125984"/>
  <pageSetup paperSize="9" scale="72" orientation="portrait" r:id="rId1"/>
  <ignoredErrors>
    <ignoredError sqref="B5" unlockedFormula="1"/>
    <ignoredError sqref="F38" formula="1"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39"/>
  <sheetViews>
    <sheetView topLeftCell="A109" workbookViewId="0">
      <selection activeCell="G136" sqref="G136"/>
    </sheetView>
  </sheetViews>
  <sheetFormatPr defaultColWidth="9.109375" defaultRowHeight="15" x14ac:dyDescent="0.35"/>
  <cols>
    <col min="1" max="2" width="9.109375" style="191"/>
    <col min="3" max="3" width="49.88671875" style="191" customWidth="1"/>
    <col min="4" max="4" width="13.5546875" style="191" customWidth="1"/>
    <col min="5" max="5" width="11.88671875" style="191" customWidth="1"/>
    <col min="6" max="6" width="12.109375" style="191" bestFit="1" customWidth="1"/>
    <col min="7" max="7" width="13.88671875" style="191" bestFit="1" customWidth="1"/>
    <col min="8" max="8" width="9.109375" style="191"/>
    <col min="9" max="9" width="10.33203125" style="191" bestFit="1" customWidth="1"/>
    <col min="10" max="15" width="9.109375" style="191"/>
    <col min="16" max="16" width="17.109375" style="191" customWidth="1"/>
    <col min="17" max="20" width="9.109375" style="191"/>
    <col min="21" max="21" width="12" style="191" customWidth="1"/>
    <col min="22" max="22" width="19" style="191" customWidth="1"/>
    <col min="23" max="16384" width="9.109375" style="191"/>
  </cols>
  <sheetData>
    <row r="1" spans="2:7" x14ac:dyDescent="0.35">
      <c r="B1" s="191" t="s">
        <v>150</v>
      </c>
    </row>
    <row r="2" spans="2:7" x14ac:dyDescent="0.35">
      <c r="B2" s="191" t="s">
        <v>152</v>
      </c>
    </row>
    <row r="3" spans="2:7" x14ac:dyDescent="0.35">
      <c r="B3" s="191">
        <f>'[1]Driftkalkyl - Smågrisar'!B18</f>
        <v>1</v>
      </c>
      <c r="C3" s="191" t="s">
        <v>229</v>
      </c>
    </row>
    <row r="4" spans="2:7" x14ac:dyDescent="0.35">
      <c r="C4" s="191" t="s">
        <v>151</v>
      </c>
    </row>
    <row r="5" spans="2:7" x14ac:dyDescent="0.35">
      <c r="C5" s="208"/>
      <c r="D5" s="202">
        <v>2015</v>
      </c>
      <c r="E5" s="202">
        <v>2016</v>
      </c>
    </row>
    <row r="6" spans="2:7" x14ac:dyDescent="0.35">
      <c r="C6" s="199" t="s">
        <v>206</v>
      </c>
      <c r="D6" s="199">
        <v>50164</v>
      </c>
      <c r="E6" s="199">
        <v>50368</v>
      </c>
    </row>
    <row r="7" spans="2:7" x14ac:dyDescent="0.35">
      <c r="C7" s="199" t="s">
        <v>207</v>
      </c>
      <c r="D7" s="199">
        <v>32349822.5</v>
      </c>
      <c r="E7" s="199">
        <f>35640570.96</f>
        <v>35640570.960000001</v>
      </c>
    </row>
    <row r="8" spans="2:7" x14ac:dyDescent="0.35">
      <c r="C8" s="199" t="s">
        <v>208</v>
      </c>
      <c r="D8" s="200">
        <f>D7/D6</f>
        <v>644.88123953432739</v>
      </c>
      <c r="E8" s="200">
        <f>E7/E6</f>
        <v>707.603457750953</v>
      </c>
    </row>
    <row r="9" spans="2:7" x14ac:dyDescent="0.35">
      <c r="C9" s="203" t="s">
        <v>209</v>
      </c>
      <c r="D9" s="204"/>
      <c r="E9" s="204"/>
      <c r="F9" s="197">
        <f>((D8*D6)+(E6*E8))/(D6+E6)</f>
        <v>676.30598675048748</v>
      </c>
      <c r="G9" s="191" t="s">
        <v>210</v>
      </c>
    </row>
    <row r="10" spans="2:7" x14ac:dyDescent="0.35">
      <c r="C10" s="203" t="s">
        <v>254</v>
      </c>
      <c r="D10" s="204"/>
      <c r="E10" s="204"/>
    </row>
    <row r="12" spans="2:7" x14ac:dyDescent="0.35">
      <c r="B12" s="191">
        <f>'[1]Driftkalkyl - Smågrisar'!B19</f>
        <v>2</v>
      </c>
      <c r="C12" s="191" t="s">
        <v>153</v>
      </c>
    </row>
    <row r="13" spans="2:7" x14ac:dyDescent="0.35">
      <c r="C13" s="191" t="s">
        <v>180</v>
      </c>
    </row>
    <row r="14" spans="2:7" x14ac:dyDescent="0.35">
      <c r="C14" s="208"/>
      <c r="D14" s="208">
        <v>2015</v>
      </c>
      <c r="E14" s="208">
        <v>2016</v>
      </c>
    </row>
    <row r="15" spans="2:7" x14ac:dyDescent="0.35">
      <c r="C15" s="199" t="s">
        <v>211</v>
      </c>
      <c r="D15" s="199">
        <v>212357</v>
      </c>
      <c r="E15" s="199">
        <v>189548</v>
      </c>
    </row>
    <row r="16" spans="2:7" x14ac:dyDescent="0.35">
      <c r="C16" s="199" t="s">
        <v>212</v>
      </c>
      <c r="D16" s="200">
        <f>1717587.2</f>
        <v>1717587.2</v>
      </c>
      <c r="E16" s="199">
        <f>2359155.3</f>
        <v>2359155.2999999998</v>
      </c>
    </row>
    <row r="17" spans="2:7" x14ac:dyDescent="0.35">
      <c r="C17" s="199" t="s">
        <v>213</v>
      </c>
      <c r="D17" s="201">
        <f>D16/D15</f>
        <v>8.0882061811006931</v>
      </c>
      <c r="E17" s="209">
        <f>E16/E15</f>
        <v>12.446215734273112</v>
      </c>
    </row>
    <row r="18" spans="2:7" x14ac:dyDescent="0.35">
      <c r="C18" s="191" t="s">
        <v>214</v>
      </c>
      <c r="F18" s="198">
        <f>((D17*D15)+(E15*E17))/(D15+E15)</f>
        <v>10.14354760453341</v>
      </c>
      <c r="G18" s="191" t="s">
        <v>215</v>
      </c>
    </row>
    <row r="19" spans="2:7" x14ac:dyDescent="0.35">
      <c r="C19" s="203" t="s">
        <v>247</v>
      </c>
      <c r="D19" s="204"/>
      <c r="E19" s="204"/>
    </row>
    <row r="20" spans="2:7" x14ac:dyDescent="0.35">
      <c r="B20" s="191">
        <f>'[1]Driftkalkyl - Smågrisar'!B20</f>
        <v>3</v>
      </c>
      <c r="C20" s="191" t="s">
        <v>216</v>
      </c>
    </row>
    <row r="21" spans="2:7" x14ac:dyDescent="0.35">
      <c r="C21" s="208"/>
      <c r="D21" s="208">
        <v>2015</v>
      </c>
      <c r="E21" s="208">
        <v>2016</v>
      </c>
      <c r="F21" s="231"/>
      <c r="G21" s="231"/>
    </row>
    <row r="22" spans="2:7" x14ac:dyDescent="0.35">
      <c r="C22" s="230" t="s">
        <v>217</v>
      </c>
      <c r="D22" s="230">
        <v>240411</v>
      </c>
      <c r="E22" s="230">
        <v>320610</v>
      </c>
      <c r="F22" s="231"/>
      <c r="G22" s="231"/>
    </row>
    <row r="23" spans="2:7" x14ac:dyDescent="0.35">
      <c r="C23" s="230" t="s">
        <v>218</v>
      </c>
      <c r="D23" s="230">
        <v>1990</v>
      </c>
      <c r="E23" s="230">
        <v>1998</v>
      </c>
      <c r="F23" s="231"/>
      <c r="G23" s="231"/>
    </row>
    <row r="24" spans="2:7" x14ac:dyDescent="0.35">
      <c r="C24" s="230" t="s">
        <v>219</v>
      </c>
      <c r="D24" s="232">
        <f>D22/D23</f>
        <v>120.80954773869347</v>
      </c>
      <c r="E24" s="232">
        <f>E22/E23</f>
        <v>160.46546546546546</v>
      </c>
      <c r="F24" s="231"/>
      <c r="G24" s="231"/>
    </row>
    <row r="25" spans="2:7" x14ac:dyDescent="0.35">
      <c r="C25" s="231" t="s">
        <v>220</v>
      </c>
      <c r="D25" s="231"/>
      <c r="E25" s="231"/>
      <c r="F25" s="233">
        <f>(D22+E22)/(D23+E23)-0.68</f>
        <v>139.99728184553661</v>
      </c>
      <c r="G25" s="231" t="s">
        <v>256</v>
      </c>
    </row>
    <row r="27" spans="2:7" x14ac:dyDescent="0.35">
      <c r="B27" s="191">
        <f>'[1]Driftkalkyl - Smågrisar'!B21</f>
        <v>4</v>
      </c>
      <c r="C27" s="191" t="s">
        <v>154</v>
      </c>
    </row>
    <row r="28" spans="2:7" x14ac:dyDescent="0.35">
      <c r="B28" s="191">
        <f>'[1]Driftkalkyl - Smågrisar'!B22</f>
        <v>5</v>
      </c>
      <c r="C28" s="191" t="s">
        <v>155</v>
      </c>
    </row>
    <row r="29" spans="2:7" x14ac:dyDescent="0.35">
      <c r="B29" s="191">
        <f>'[1]Driftkalkyl - Smågrisar'!B23</f>
        <v>6</v>
      </c>
      <c r="C29" s="191" t="s">
        <v>168</v>
      </c>
    </row>
    <row r="30" spans="2:7" x14ac:dyDescent="0.35">
      <c r="B30" s="191">
        <f>'[1]Driftkalkyl - Smågrisar'!B24</f>
        <v>7</v>
      </c>
      <c r="C30" s="191" t="s">
        <v>246</v>
      </c>
    </row>
    <row r="32" spans="2:7" x14ac:dyDescent="0.35">
      <c r="B32" s="191" t="s">
        <v>167</v>
      </c>
    </row>
    <row r="33" spans="2:15" x14ac:dyDescent="0.35">
      <c r="B33" s="191">
        <v>8</v>
      </c>
      <c r="C33" s="191" t="s">
        <v>230</v>
      </c>
    </row>
    <row r="35" spans="2:15" x14ac:dyDescent="0.35">
      <c r="B35" s="191">
        <v>9</v>
      </c>
      <c r="C35" s="191" t="s">
        <v>169</v>
      </c>
    </row>
    <row r="36" spans="2:15" x14ac:dyDescent="0.35">
      <c r="C36" s="191" t="s">
        <v>170</v>
      </c>
    </row>
    <row r="37" spans="2:15" x14ac:dyDescent="0.35">
      <c r="C37" s="191" t="s">
        <v>171</v>
      </c>
    </row>
    <row r="38" spans="2:15" x14ac:dyDescent="0.35">
      <c r="C38" s="191" t="s">
        <v>172</v>
      </c>
      <c r="O38" s="191">
        <v>173340</v>
      </c>
    </row>
    <row r="39" spans="2:15" x14ac:dyDescent="0.35">
      <c r="C39" s="202" t="s">
        <v>178</v>
      </c>
      <c r="D39" s="202">
        <v>2015</v>
      </c>
      <c r="E39" s="202">
        <v>2016</v>
      </c>
      <c r="F39" s="231"/>
    </row>
    <row r="40" spans="2:15" x14ac:dyDescent="0.35">
      <c r="C40" s="230" t="s">
        <v>173</v>
      </c>
      <c r="D40" s="230">
        <v>3396500</v>
      </c>
      <c r="E40" s="230">
        <v>3439191</v>
      </c>
      <c r="F40" s="231"/>
    </row>
    <row r="41" spans="2:15" x14ac:dyDescent="0.35">
      <c r="C41" s="230" t="s">
        <v>179</v>
      </c>
      <c r="D41" s="230">
        <v>7188879</v>
      </c>
      <c r="E41" s="230">
        <v>7169860</v>
      </c>
      <c r="F41" s="231"/>
    </row>
    <row r="42" spans="2:15" x14ac:dyDescent="0.35">
      <c r="C42" s="230" t="s">
        <v>174</v>
      </c>
      <c r="D42" s="234">
        <f>D41/D40</f>
        <v>2.1165549830708081</v>
      </c>
      <c r="E42" s="234">
        <f>E41/E40</f>
        <v>2.0847519082249284</v>
      </c>
      <c r="F42" s="231"/>
    </row>
    <row r="43" spans="2:15" x14ac:dyDescent="0.35">
      <c r="C43" s="230" t="s">
        <v>175</v>
      </c>
      <c r="D43" s="232">
        <f>D40/1990</f>
        <v>1706.78391959799</v>
      </c>
      <c r="E43" s="232">
        <f>E40/1998</f>
        <v>1721.3168168168168</v>
      </c>
      <c r="F43" s="231"/>
    </row>
    <row r="44" spans="2:15" x14ac:dyDescent="0.35">
      <c r="C44" s="231" t="s">
        <v>176</v>
      </c>
      <c r="D44" s="231"/>
      <c r="E44" s="231"/>
      <c r="F44" s="235">
        <f>((D40*D42)+(E40*E42))/(D40+E40)</f>
        <v>2.1005541356389572</v>
      </c>
    </row>
    <row r="45" spans="2:15" x14ac:dyDescent="0.35">
      <c r="C45" s="231" t="s">
        <v>177</v>
      </c>
      <c r="D45" s="231"/>
      <c r="E45" s="231"/>
      <c r="F45" s="233">
        <f>(D43+E43)/2</f>
        <v>1714.0503682074034</v>
      </c>
    </row>
    <row r="46" spans="2:15" x14ac:dyDescent="0.35">
      <c r="F46" s="197"/>
    </row>
    <row r="47" spans="2:15" x14ac:dyDescent="0.35">
      <c r="B47" s="191">
        <v>10</v>
      </c>
      <c r="C47" s="191" t="s">
        <v>196</v>
      </c>
      <c r="F47" s="197"/>
    </row>
    <row r="48" spans="2:15" x14ac:dyDescent="0.35">
      <c r="B48" s="191">
        <v>11</v>
      </c>
      <c r="C48" s="191" t="s">
        <v>197</v>
      </c>
      <c r="F48" s="197"/>
    </row>
    <row r="49" spans="2:6" x14ac:dyDescent="0.35">
      <c r="F49" s="197"/>
    </row>
    <row r="50" spans="2:6" x14ac:dyDescent="0.35">
      <c r="B50" s="191">
        <v>12</v>
      </c>
      <c r="C50" s="191" t="s">
        <v>181</v>
      </c>
    </row>
    <row r="51" spans="2:6" x14ac:dyDescent="0.35">
      <c r="C51" s="191" t="s">
        <v>183</v>
      </c>
    </row>
    <row r="52" spans="2:6" x14ac:dyDescent="0.35">
      <c r="C52" s="191" t="s">
        <v>182</v>
      </c>
    </row>
    <row r="53" spans="2:6" x14ac:dyDescent="0.35">
      <c r="C53" s="191" t="s">
        <v>184</v>
      </c>
    </row>
    <row r="54" spans="2:6" x14ac:dyDescent="0.35">
      <c r="C54" s="202" t="s">
        <v>178</v>
      </c>
      <c r="D54" s="202">
        <v>2015</v>
      </c>
      <c r="E54" s="202">
        <v>2016</v>
      </c>
      <c r="F54" s="231"/>
    </row>
    <row r="55" spans="2:6" x14ac:dyDescent="0.35">
      <c r="C55" s="230" t="s">
        <v>173</v>
      </c>
      <c r="D55" s="230">
        <v>391240</v>
      </c>
      <c r="E55" s="230">
        <v>389683.4</v>
      </c>
      <c r="F55" s="231"/>
    </row>
    <row r="56" spans="2:6" x14ac:dyDescent="0.35">
      <c r="C56" s="230" t="s">
        <v>179</v>
      </c>
      <c r="D56" s="230">
        <v>2028513</v>
      </c>
      <c r="E56" s="230">
        <v>1775316</v>
      </c>
      <c r="F56" s="231"/>
    </row>
    <row r="57" spans="2:6" x14ac:dyDescent="0.35">
      <c r="C57" s="230" t="s">
        <v>174</v>
      </c>
      <c r="D57" s="234">
        <f>D56/D55</f>
        <v>5.1848302832021265</v>
      </c>
      <c r="E57" s="234">
        <f>E56/E55</f>
        <v>4.5557906751994048</v>
      </c>
      <c r="F57" s="231"/>
    </row>
    <row r="58" spans="2:6" x14ac:dyDescent="0.35">
      <c r="C58" s="230" t="s">
        <v>175</v>
      </c>
      <c r="D58" s="230">
        <v>196.6</v>
      </c>
      <c r="E58" s="230">
        <v>195</v>
      </c>
      <c r="F58" s="231"/>
    </row>
    <row r="59" spans="2:6" x14ac:dyDescent="0.35">
      <c r="C59" s="231" t="s">
        <v>176</v>
      </c>
      <c r="D59" s="231"/>
      <c r="E59" s="231"/>
      <c r="F59" s="231">
        <v>4.87</v>
      </c>
    </row>
    <row r="60" spans="2:6" x14ac:dyDescent="0.35">
      <c r="C60" s="231" t="s">
        <v>177</v>
      </c>
      <c r="D60" s="231"/>
      <c r="E60" s="231"/>
      <c r="F60" s="231">
        <v>196</v>
      </c>
    </row>
    <row r="62" spans="2:6" x14ac:dyDescent="0.35">
      <c r="B62" s="191">
        <v>13</v>
      </c>
      <c r="C62" s="191" t="s">
        <v>185</v>
      </c>
    </row>
    <row r="63" spans="2:6" x14ac:dyDescent="0.35">
      <c r="C63" s="191" t="s">
        <v>186</v>
      </c>
    </row>
    <row r="64" spans="2:6" x14ac:dyDescent="0.35">
      <c r="C64" s="191" t="s">
        <v>187</v>
      </c>
    </row>
    <row r="65" spans="2:17" x14ac:dyDescent="0.35">
      <c r="C65" s="191" t="s">
        <v>188</v>
      </c>
      <c r="O65" s="205"/>
      <c r="P65" s="205"/>
      <c r="Q65" s="205"/>
    </row>
    <row r="66" spans="2:17" x14ac:dyDescent="0.35">
      <c r="C66" s="191" t="s">
        <v>189</v>
      </c>
      <c r="O66" s="205"/>
      <c r="P66" s="205"/>
      <c r="Q66" s="206"/>
    </row>
    <row r="67" spans="2:17" x14ac:dyDescent="0.35">
      <c r="C67" s="202" t="s">
        <v>178</v>
      </c>
      <c r="D67" s="202">
        <v>2015</v>
      </c>
      <c r="E67" s="202">
        <v>2016</v>
      </c>
      <c r="F67" s="231"/>
      <c r="O67" s="205"/>
      <c r="P67" s="205"/>
      <c r="Q67" s="206"/>
    </row>
    <row r="68" spans="2:17" x14ac:dyDescent="0.35">
      <c r="C68" s="230" t="s">
        <v>173</v>
      </c>
      <c r="D68" s="230">
        <v>1448560</v>
      </c>
      <c r="E68" s="230">
        <v>1849210</v>
      </c>
      <c r="F68" s="231"/>
      <c r="G68" s="207"/>
      <c r="O68" s="205"/>
      <c r="P68" s="205"/>
      <c r="Q68" s="206"/>
    </row>
    <row r="69" spans="2:17" x14ac:dyDescent="0.35">
      <c r="C69" s="230" t="s">
        <v>179</v>
      </c>
      <c r="D69" s="230">
        <v>5117567</v>
      </c>
      <c r="E69" s="230">
        <v>6494955</v>
      </c>
      <c r="F69" s="231"/>
      <c r="O69" s="205"/>
      <c r="P69" s="205"/>
      <c r="Q69" s="206"/>
    </row>
    <row r="70" spans="2:17" x14ac:dyDescent="0.35">
      <c r="C70" s="230" t="s">
        <v>174</v>
      </c>
      <c r="D70" s="234">
        <f>D69/D68</f>
        <v>3.5328650521897607</v>
      </c>
      <c r="E70" s="234">
        <f>E69/E68</f>
        <v>3.5122863276750613</v>
      </c>
      <c r="F70" s="231"/>
      <c r="O70" s="205"/>
      <c r="P70" s="205"/>
      <c r="Q70" s="206"/>
    </row>
    <row r="71" spans="2:17" x14ac:dyDescent="0.35">
      <c r="C71" s="230" t="s">
        <v>175</v>
      </c>
      <c r="D71" s="232">
        <f>D68/1990</f>
        <v>727.91959798994969</v>
      </c>
      <c r="E71" s="232">
        <f>E68/1998</f>
        <v>925.53053053053054</v>
      </c>
      <c r="F71" s="231"/>
      <c r="O71" s="205"/>
      <c r="P71" s="205"/>
      <c r="Q71" s="206"/>
    </row>
    <row r="72" spans="2:17" x14ac:dyDescent="0.35">
      <c r="C72" s="236" t="s">
        <v>176</v>
      </c>
      <c r="D72" s="236"/>
      <c r="E72" s="236"/>
      <c r="F72" s="236">
        <v>3.47</v>
      </c>
      <c r="G72" s="203"/>
    </row>
    <row r="73" spans="2:17" x14ac:dyDescent="0.35">
      <c r="C73" s="236" t="s">
        <v>177</v>
      </c>
      <c r="D73" s="236"/>
      <c r="E73" s="236"/>
      <c r="F73" s="237">
        <f>(D68+E68)/(1990+1998)</f>
        <v>826.92326980942823</v>
      </c>
      <c r="G73" s="203"/>
    </row>
    <row r="75" spans="2:17" x14ac:dyDescent="0.35">
      <c r="B75" s="191">
        <v>14</v>
      </c>
      <c r="C75" s="191" t="s">
        <v>59</v>
      </c>
    </row>
    <row r="76" spans="2:17" x14ac:dyDescent="0.35">
      <c r="C76" s="191" t="s">
        <v>248</v>
      </c>
    </row>
    <row r="79" spans="2:17" x14ac:dyDescent="0.35">
      <c r="B79" s="191">
        <v>16</v>
      </c>
    </row>
    <row r="80" spans="2:17" x14ac:dyDescent="0.35">
      <c r="C80" s="202" t="s">
        <v>60</v>
      </c>
      <c r="D80" s="202">
        <v>2015</v>
      </c>
      <c r="E80" s="202">
        <v>2016</v>
      </c>
      <c r="F80" s="231"/>
    </row>
    <row r="81" spans="2:8" x14ac:dyDescent="0.35">
      <c r="C81" s="230" t="s">
        <v>190</v>
      </c>
      <c r="D81" s="230">
        <v>1570476</v>
      </c>
      <c r="E81" s="230">
        <v>1579946</v>
      </c>
      <c r="F81" s="231"/>
    </row>
    <row r="82" spans="2:8" x14ac:dyDescent="0.35">
      <c r="C82" s="230" t="s">
        <v>191</v>
      </c>
      <c r="D82" s="230">
        <v>1043738</v>
      </c>
      <c r="E82" s="230">
        <v>953297</v>
      </c>
      <c r="F82" s="231"/>
    </row>
    <row r="83" spans="2:8" x14ac:dyDescent="0.35">
      <c r="C83" s="230" t="s">
        <v>192</v>
      </c>
      <c r="D83" s="234">
        <f>D82/D81</f>
        <v>0.664599777392332</v>
      </c>
      <c r="E83" s="234">
        <f>E82/E81</f>
        <v>0.60337315325966834</v>
      </c>
      <c r="F83" s="231"/>
    </row>
    <row r="84" spans="2:8" x14ac:dyDescent="0.35">
      <c r="C84" s="230" t="s">
        <v>193</v>
      </c>
      <c r="D84" s="232">
        <f>D81/1990</f>
        <v>789.18391959798998</v>
      </c>
      <c r="E84" s="232">
        <f>E81/1998</f>
        <v>790.76376376376379</v>
      </c>
      <c r="F84" s="231"/>
    </row>
    <row r="85" spans="2:8" x14ac:dyDescent="0.35">
      <c r="C85" s="231" t="s">
        <v>194</v>
      </c>
      <c r="D85" s="233"/>
      <c r="E85" s="233"/>
      <c r="F85" s="235">
        <f>((D83*D81)+(E83*E81))/(D81+E81)</f>
        <v>0.6338944433475896</v>
      </c>
    </row>
    <row r="86" spans="2:8" x14ac:dyDescent="0.35">
      <c r="C86" s="231" t="s">
        <v>195</v>
      </c>
      <c r="D86" s="233"/>
      <c r="E86" s="233"/>
      <c r="F86" s="233">
        <f>((D81+E81)/(1990+1998))</f>
        <v>789.97542627883649</v>
      </c>
    </row>
    <row r="87" spans="2:8" x14ac:dyDescent="0.35">
      <c r="C87" s="231" t="s">
        <v>249</v>
      </c>
      <c r="D87" s="233"/>
      <c r="E87" s="233"/>
      <c r="F87" s="233"/>
    </row>
    <row r="88" spans="2:8" x14ac:dyDescent="0.35">
      <c r="C88" s="231" t="s">
        <v>232</v>
      </c>
      <c r="D88" s="233"/>
      <c r="E88" s="233"/>
      <c r="F88" s="233"/>
    </row>
    <row r="89" spans="2:8" x14ac:dyDescent="0.35">
      <c r="B89" s="191">
        <v>17</v>
      </c>
      <c r="C89" s="191" t="s">
        <v>198</v>
      </c>
      <c r="D89" s="197"/>
      <c r="E89" s="197"/>
      <c r="F89" s="197"/>
    </row>
    <row r="90" spans="2:8" x14ac:dyDescent="0.35">
      <c r="C90" s="191" t="s">
        <v>199</v>
      </c>
      <c r="D90" s="197"/>
      <c r="E90" s="197"/>
      <c r="F90" s="197"/>
    </row>
    <row r="91" spans="2:8" x14ac:dyDescent="0.35">
      <c r="C91" s="191" t="s">
        <v>200</v>
      </c>
      <c r="D91" s="197"/>
      <c r="E91" s="197"/>
      <c r="F91" s="197"/>
    </row>
    <row r="92" spans="2:8" x14ac:dyDescent="0.35">
      <c r="C92" s="202"/>
      <c r="D92" s="210">
        <v>2015</v>
      </c>
      <c r="E92" s="210">
        <v>2016</v>
      </c>
      <c r="F92" s="233"/>
      <c r="G92" s="231"/>
      <c r="H92" s="231"/>
    </row>
    <row r="93" spans="2:8" x14ac:dyDescent="0.35">
      <c r="C93" s="230" t="s">
        <v>221</v>
      </c>
      <c r="D93" s="232">
        <f>55374</f>
        <v>55374</v>
      </c>
      <c r="E93" s="232">
        <f>76824</f>
        <v>76824</v>
      </c>
      <c r="F93" s="233"/>
      <c r="G93" s="231"/>
      <c r="H93" s="231"/>
    </row>
    <row r="94" spans="2:8" x14ac:dyDescent="0.35">
      <c r="C94" s="230" t="s">
        <v>219</v>
      </c>
      <c r="D94" s="232">
        <f>D93/1990</f>
        <v>27.826130653266333</v>
      </c>
      <c r="E94" s="232">
        <f>E93/1998</f>
        <v>38.450450450450454</v>
      </c>
      <c r="F94" s="233"/>
      <c r="G94" s="231"/>
      <c r="H94" s="231"/>
    </row>
    <row r="95" spans="2:8" x14ac:dyDescent="0.35">
      <c r="C95" s="231" t="s">
        <v>222</v>
      </c>
      <c r="D95" s="233"/>
      <c r="E95" s="233"/>
      <c r="F95" s="233">
        <f>(D93+E93)/(1990+1998)</f>
        <v>33.148946840521567</v>
      </c>
      <c r="G95" s="231" t="s">
        <v>223</v>
      </c>
      <c r="H95" s="231"/>
    </row>
    <row r="96" spans="2:8" x14ac:dyDescent="0.35">
      <c r="D96" s="197"/>
      <c r="E96" s="197"/>
      <c r="F96" s="197"/>
    </row>
    <row r="97" spans="2:7" x14ac:dyDescent="0.35">
      <c r="D97" s="197"/>
      <c r="E97" s="197"/>
      <c r="F97" s="197"/>
    </row>
    <row r="98" spans="2:7" x14ac:dyDescent="0.35">
      <c r="B98" s="191">
        <f>'[1]Driftkalkyl - Smågrisar'!B39</f>
        <v>18</v>
      </c>
      <c r="C98" s="191" t="s">
        <v>224</v>
      </c>
    </row>
    <row r="99" spans="2:7" x14ac:dyDescent="0.35">
      <c r="C99" s="202"/>
      <c r="D99" s="202">
        <v>2015</v>
      </c>
      <c r="E99" s="202">
        <v>2016</v>
      </c>
      <c r="F99" s="231"/>
      <c r="G99" s="231"/>
    </row>
    <row r="100" spans="2:7" x14ac:dyDescent="0.35">
      <c r="C100" s="230" t="s">
        <v>225</v>
      </c>
      <c r="D100" s="230">
        <v>70975</v>
      </c>
      <c r="E100" s="230">
        <v>58425</v>
      </c>
      <c r="F100" s="231"/>
      <c r="G100" s="231"/>
    </row>
    <row r="101" spans="2:7" x14ac:dyDescent="0.35">
      <c r="C101" s="230" t="s">
        <v>219</v>
      </c>
      <c r="D101" s="232">
        <f>D100/1990</f>
        <v>35.665829145728644</v>
      </c>
      <c r="E101" s="232">
        <f>E100/1998</f>
        <v>29.241741741741741</v>
      </c>
      <c r="F101" s="231"/>
      <c r="G101" s="231"/>
    </row>
    <row r="102" spans="2:7" x14ac:dyDescent="0.35">
      <c r="C102" s="231" t="s">
        <v>222</v>
      </c>
      <c r="D102" s="231"/>
      <c r="E102" s="231"/>
      <c r="F102" s="233">
        <f>(D100+E100)/(1990+1998)</f>
        <v>32.447342026078232</v>
      </c>
      <c r="G102" s="231" t="s">
        <v>223</v>
      </c>
    </row>
    <row r="104" spans="2:7" x14ac:dyDescent="0.35">
      <c r="B104" s="191">
        <f>'[1]Driftkalkyl - Smågrisar'!B40</f>
        <v>19</v>
      </c>
      <c r="C104" s="191" t="s">
        <v>63</v>
      </c>
    </row>
    <row r="106" spans="2:7" x14ac:dyDescent="0.35">
      <c r="C106" s="202"/>
      <c r="D106" s="202">
        <v>2015</v>
      </c>
      <c r="E106" s="202">
        <v>2016</v>
      </c>
      <c r="F106" s="231"/>
      <c r="G106" s="231"/>
    </row>
    <row r="107" spans="2:7" x14ac:dyDescent="0.35">
      <c r="C107" s="230" t="s">
        <v>226</v>
      </c>
      <c r="D107" s="232">
        <v>849655.25</v>
      </c>
      <c r="E107" s="232">
        <v>769005.5</v>
      </c>
      <c r="F107" s="231"/>
      <c r="G107" s="231"/>
    </row>
    <row r="108" spans="2:7" x14ac:dyDescent="0.35">
      <c r="C108" s="230" t="s">
        <v>219</v>
      </c>
      <c r="D108" s="232">
        <f>D107/1990</f>
        <v>426.96243718592967</v>
      </c>
      <c r="E108" s="232">
        <f>E107/1998</f>
        <v>384.88763763763762</v>
      </c>
      <c r="F108" s="231"/>
      <c r="G108" s="231"/>
    </row>
    <row r="109" spans="2:7" x14ac:dyDescent="0.35">
      <c r="C109" s="231" t="s">
        <v>222</v>
      </c>
      <c r="D109" s="233"/>
      <c r="E109" s="233"/>
      <c r="F109" s="233">
        <f>(D107+E107)/(1990+1998)</f>
        <v>405.88283600802407</v>
      </c>
      <c r="G109" s="231" t="s">
        <v>223</v>
      </c>
    </row>
    <row r="110" spans="2:7" x14ac:dyDescent="0.35">
      <c r="C110" s="191" t="s">
        <v>250</v>
      </c>
      <c r="D110" s="197"/>
      <c r="E110" s="197"/>
      <c r="F110" s="197"/>
    </row>
    <row r="111" spans="2:7" x14ac:dyDescent="0.35">
      <c r="C111" s="191" t="s">
        <v>231</v>
      </c>
    </row>
    <row r="112" spans="2:7" x14ac:dyDescent="0.35">
      <c r="B112" s="191">
        <f>'[1]Driftkalkyl - Smågrisar'!B41</f>
        <v>20</v>
      </c>
      <c r="C112" s="191" t="s">
        <v>201</v>
      </c>
    </row>
    <row r="113" spans="2:7" x14ac:dyDescent="0.35">
      <c r="C113" s="191" t="s">
        <v>233</v>
      </c>
    </row>
    <row r="115" spans="2:7" x14ac:dyDescent="0.35">
      <c r="C115" s="202"/>
      <c r="D115" s="202">
        <v>2015</v>
      </c>
      <c r="E115" s="202">
        <v>2016</v>
      </c>
    </row>
    <row r="116" spans="2:7" x14ac:dyDescent="0.35">
      <c r="C116" s="230" t="s">
        <v>257</v>
      </c>
      <c r="D116" s="232">
        <v>2522343</v>
      </c>
      <c r="E116" s="232">
        <v>2339832</v>
      </c>
    </row>
    <row r="117" spans="2:7" x14ac:dyDescent="0.35">
      <c r="C117" s="230" t="s">
        <v>219</v>
      </c>
      <c r="D117" s="232">
        <f>D116/1990</f>
        <v>1267.5090452261306</v>
      </c>
      <c r="E117" s="232">
        <f>E116/1998</f>
        <v>1171.0870870870872</v>
      </c>
      <c r="F117" s="191">
        <f>(D117+E117)/2</f>
        <v>1219.2980661566089</v>
      </c>
    </row>
    <row r="118" spans="2:7" x14ac:dyDescent="0.35">
      <c r="C118" s="236" t="s">
        <v>259</v>
      </c>
      <c r="D118" s="237"/>
      <c r="E118" s="237">
        <v>1219</v>
      </c>
    </row>
    <row r="119" spans="2:7" x14ac:dyDescent="0.35">
      <c r="C119" s="236" t="s">
        <v>258</v>
      </c>
      <c r="D119" s="237"/>
      <c r="E119" s="237">
        <f>2.2*37*2.3*800</f>
        <v>149776</v>
      </c>
      <c r="F119" s="191">
        <f>E119/800</f>
        <v>187.22</v>
      </c>
      <c r="G119" s="191">
        <f>F117+F119</f>
        <v>1406.5180661566089</v>
      </c>
    </row>
    <row r="121" spans="2:7" x14ac:dyDescent="0.35">
      <c r="B121" s="191">
        <v>21</v>
      </c>
      <c r="C121" s="191" t="s">
        <v>253</v>
      </c>
    </row>
    <row r="123" spans="2:7" x14ac:dyDescent="0.35">
      <c r="C123" s="202"/>
      <c r="D123" s="202">
        <v>2015</v>
      </c>
      <c r="E123" s="202">
        <v>2016</v>
      </c>
      <c r="F123" s="231"/>
      <c r="G123" s="231"/>
    </row>
    <row r="124" spans="2:7" x14ac:dyDescent="0.35">
      <c r="C124" s="230" t="s">
        <v>227</v>
      </c>
      <c r="D124" s="232">
        <f>414937.56+361853</f>
        <v>776790.56</v>
      </c>
      <c r="E124" s="230">
        <f>608596.58+506809.32</f>
        <v>1115405.8999999999</v>
      </c>
      <c r="F124" s="231"/>
      <c r="G124" s="231"/>
    </row>
    <row r="125" spans="2:7" x14ac:dyDescent="0.35">
      <c r="C125" s="230" t="s">
        <v>219</v>
      </c>
      <c r="D125" s="232">
        <f>D124/1990</f>
        <v>390.34701507537693</v>
      </c>
      <c r="E125" s="232">
        <f>E124/1998</f>
        <v>558.26121121121116</v>
      </c>
      <c r="F125" s="231"/>
      <c r="G125" s="231"/>
    </row>
    <row r="126" spans="2:7" x14ac:dyDescent="0.35">
      <c r="C126" s="236" t="s">
        <v>222</v>
      </c>
      <c r="D126" s="237"/>
      <c r="E126" s="237"/>
      <c r="F126" s="233">
        <f>(D124+E124)/(1990+1998)</f>
        <v>474.47253259779336</v>
      </c>
      <c r="G126" s="231" t="s">
        <v>223</v>
      </c>
    </row>
    <row r="127" spans="2:7" x14ac:dyDescent="0.35">
      <c r="C127" s="191" t="s">
        <v>251</v>
      </c>
    </row>
    <row r="128" spans="2:7" x14ac:dyDescent="0.35">
      <c r="B128" s="191">
        <v>22</v>
      </c>
      <c r="C128" s="191" t="s">
        <v>260</v>
      </c>
    </row>
    <row r="130" spans="2:7" x14ac:dyDescent="0.35">
      <c r="B130" s="191">
        <v>23</v>
      </c>
      <c r="C130" s="191" t="s">
        <v>203</v>
      </c>
    </row>
    <row r="131" spans="2:7" x14ac:dyDescent="0.35">
      <c r="C131" s="191" t="s">
        <v>234</v>
      </c>
    </row>
    <row r="132" spans="2:7" x14ac:dyDescent="0.35">
      <c r="B132" s="191">
        <v>24</v>
      </c>
      <c r="C132" s="191" t="s">
        <v>202</v>
      </c>
      <c r="G132" s="191" t="e">
        <f>500/G13100</f>
        <v>#DIV/0!</v>
      </c>
    </row>
    <row r="133" spans="2:7" x14ac:dyDescent="0.35">
      <c r="C133" s="191" t="s">
        <v>204</v>
      </c>
    </row>
    <row r="135" spans="2:7" x14ac:dyDescent="0.35">
      <c r="G135" s="191">
        <f>500/800</f>
        <v>0.625</v>
      </c>
    </row>
    <row r="136" spans="2:7" x14ac:dyDescent="0.35">
      <c r="B136" s="191">
        <v>25</v>
      </c>
      <c r="C136" s="191" t="s">
        <v>252</v>
      </c>
    </row>
    <row r="139" spans="2:7" x14ac:dyDescent="0.35">
      <c r="B139" s="191">
        <v>27</v>
      </c>
      <c r="C139" s="191" t="s">
        <v>228</v>
      </c>
    </row>
  </sheetData>
  <pageMargins left="0.7" right="0.7" top="0.75" bottom="0.75" header="0.3" footer="0.3"/>
  <pageSetup paperSize="9" scale="56"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G4" sqref="G4"/>
    </sheetView>
  </sheetViews>
  <sheetFormatPr defaultRowHeight="14.4" x14ac:dyDescent="0.3"/>
  <sheetData>
    <row r="1" spans="1:1" ht="18" x14ac:dyDescent="0.35">
      <c r="A1" s="190" t="s">
        <v>138</v>
      </c>
    </row>
    <row r="2" spans="1:1" x14ac:dyDescent="0.3">
      <c r="A2" t="s">
        <v>46</v>
      </c>
    </row>
    <row r="3" spans="1:1" x14ac:dyDescent="0.3">
      <c r="A3" t="s">
        <v>41</v>
      </c>
    </row>
    <row r="4" spans="1:1" x14ac:dyDescent="0.3">
      <c r="A4" t="s">
        <v>42</v>
      </c>
    </row>
    <row r="5" spans="1:1" x14ac:dyDescent="0.3">
      <c r="A5" t="s">
        <v>123</v>
      </c>
    </row>
    <row r="6" spans="1:1" x14ac:dyDescent="0.3">
      <c r="A6" t="s">
        <v>43</v>
      </c>
    </row>
    <row r="7" spans="1:1" x14ac:dyDescent="0.3">
      <c r="A7" t="s">
        <v>44</v>
      </c>
    </row>
    <row r="8" spans="1:1" x14ac:dyDescent="0.3">
      <c r="A8" t="s">
        <v>45</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20"/>
  <sheetViews>
    <sheetView workbookViewId="0">
      <selection activeCell="L35" sqref="L35"/>
    </sheetView>
  </sheetViews>
  <sheetFormatPr defaultColWidth="9.109375" defaultRowHeight="15" x14ac:dyDescent="0.35"/>
  <cols>
    <col min="1" max="16384" width="9.109375" style="191"/>
  </cols>
  <sheetData>
    <row r="5" spans="2:2" x14ac:dyDescent="0.35">
      <c r="B5" s="191" t="s">
        <v>165</v>
      </c>
    </row>
    <row r="6" spans="2:2" ht="16.2" x14ac:dyDescent="0.35">
      <c r="B6" s="193" t="s">
        <v>156</v>
      </c>
    </row>
    <row r="7" spans="2:2" x14ac:dyDescent="0.35">
      <c r="B7" s="192"/>
    </row>
    <row r="8" spans="2:2" x14ac:dyDescent="0.35">
      <c r="B8" s="194" t="s">
        <v>157</v>
      </c>
    </row>
    <row r="9" spans="2:2" x14ac:dyDescent="0.35">
      <c r="B9" s="195"/>
    </row>
    <row r="10" spans="2:2" x14ac:dyDescent="0.35">
      <c r="B10" s="196" t="s">
        <v>158</v>
      </c>
    </row>
    <row r="11" spans="2:2" x14ac:dyDescent="0.35">
      <c r="B11" s="196" t="s">
        <v>159</v>
      </c>
    </row>
    <row r="12" spans="2:2" x14ac:dyDescent="0.35">
      <c r="B12" s="196" t="s">
        <v>160</v>
      </c>
    </row>
    <row r="13" spans="2:2" x14ac:dyDescent="0.35">
      <c r="B13" s="192"/>
    </row>
    <row r="14" spans="2:2" x14ac:dyDescent="0.35">
      <c r="B14" s="194" t="s">
        <v>161</v>
      </c>
    </row>
    <row r="15" spans="2:2" x14ac:dyDescent="0.35">
      <c r="B15" s="195"/>
    </row>
    <row r="16" spans="2:2" x14ac:dyDescent="0.35">
      <c r="B16" s="196" t="s">
        <v>162</v>
      </c>
    </row>
    <row r="17" spans="2:2" x14ac:dyDescent="0.35">
      <c r="B17" s="196" t="s">
        <v>163</v>
      </c>
    </row>
    <row r="18" spans="2:2" x14ac:dyDescent="0.35">
      <c r="B18" s="196" t="s">
        <v>164</v>
      </c>
    </row>
    <row r="20" spans="2:2" x14ac:dyDescent="0.35">
      <c r="B20" s="191" t="s">
        <v>166</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L27"/>
  <sheetViews>
    <sheetView topLeftCell="A16" workbookViewId="0">
      <selection activeCell="I20" sqref="I20"/>
    </sheetView>
  </sheetViews>
  <sheetFormatPr defaultColWidth="9.109375" defaultRowHeight="15" x14ac:dyDescent="0.35"/>
  <cols>
    <col min="1" max="16384" width="9.109375" style="191"/>
  </cols>
  <sheetData>
    <row r="4" spans="3:8" x14ac:dyDescent="0.35">
      <c r="C4" s="191">
        <v>10884</v>
      </c>
    </row>
    <row r="5" spans="3:8" x14ac:dyDescent="0.35">
      <c r="C5" s="191">
        <f>53700-8250</f>
        <v>45450</v>
      </c>
      <c r="F5" s="191">
        <v>152</v>
      </c>
      <c r="G5" s="191">
        <f>F5*500</f>
        <v>76000</v>
      </c>
    </row>
    <row r="6" spans="3:8" x14ac:dyDescent="0.35">
      <c r="C6" s="191">
        <v>128688</v>
      </c>
      <c r="F6" s="191">
        <v>132</v>
      </c>
      <c r="G6" s="191">
        <f>F6*500</f>
        <v>66000</v>
      </c>
    </row>
    <row r="7" spans="3:8" x14ac:dyDescent="0.35">
      <c r="C7" s="191">
        <v>26751</v>
      </c>
      <c r="F7" s="191">
        <v>393</v>
      </c>
      <c r="G7" s="191">
        <f>F7*500</f>
        <v>196500</v>
      </c>
    </row>
    <row r="8" spans="3:8" x14ac:dyDescent="0.35">
      <c r="C8" s="191">
        <f>SUM(C4:C7)</f>
        <v>211773</v>
      </c>
      <c r="F8" s="191">
        <v>292575</v>
      </c>
    </row>
    <row r="9" spans="3:8" x14ac:dyDescent="0.35">
      <c r="F9" s="191">
        <v>12690</v>
      </c>
    </row>
    <row r="10" spans="3:8" x14ac:dyDescent="0.35">
      <c r="F10" s="191">
        <v>60</v>
      </c>
      <c r="G10" s="191">
        <f>F10*500</f>
        <v>30000</v>
      </c>
    </row>
    <row r="11" spans="3:8" x14ac:dyDescent="0.35">
      <c r="F11" s="191">
        <v>242</v>
      </c>
      <c r="G11" s="191">
        <f>F11*500</f>
        <v>121000</v>
      </c>
    </row>
    <row r="12" spans="3:8" x14ac:dyDescent="0.35">
      <c r="G12" s="191">
        <f>SUM(G5:G11)+F8+F9</f>
        <v>794765</v>
      </c>
      <c r="H12" s="191">
        <f>G12/1990</f>
        <v>399.3793969849246</v>
      </c>
    </row>
    <row r="13" spans="3:8" x14ac:dyDescent="0.35">
      <c r="C13" s="191">
        <f>C8/G12</f>
        <v>0.26645989695067096</v>
      </c>
    </row>
    <row r="19" spans="7:12" x14ac:dyDescent="0.35">
      <c r="G19" s="191" t="s">
        <v>223</v>
      </c>
    </row>
    <row r="20" spans="7:12" x14ac:dyDescent="0.35">
      <c r="I20" s="191" t="s">
        <v>242</v>
      </c>
      <c r="J20" s="191" t="s">
        <v>243</v>
      </c>
      <c r="K20" s="191" t="s">
        <v>244</v>
      </c>
      <c r="L20" s="191" t="s">
        <v>245</v>
      </c>
    </row>
    <row r="21" spans="7:12" x14ac:dyDescent="0.35">
      <c r="H21" s="191" t="s">
        <v>240</v>
      </c>
      <c r="I21" s="191">
        <v>354</v>
      </c>
      <c r="J21" s="191">
        <v>634</v>
      </c>
      <c r="K21" s="191">
        <v>524</v>
      </c>
    </row>
    <row r="22" spans="7:12" x14ac:dyDescent="0.35">
      <c r="H22" s="191" t="s">
        <v>235</v>
      </c>
      <c r="I22" s="191">
        <v>824</v>
      </c>
      <c r="J22" s="191">
        <v>862</v>
      </c>
      <c r="K22" s="191">
        <v>682</v>
      </c>
      <c r="L22" s="191">
        <v>487</v>
      </c>
    </row>
    <row r="23" spans="7:12" x14ac:dyDescent="0.35">
      <c r="H23" s="191" t="s">
        <v>241</v>
      </c>
      <c r="I23" s="191">
        <v>672</v>
      </c>
      <c r="J23" s="191">
        <v>688</v>
      </c>
    </row>
    <row r="24" spans="7:12" x14ac:dyDescent="0.35">
      <c r="H24" s="191" t="s">
        <v>236</v>
      </c>
      <c r="I24" s="191">
        <v>443</v>
      </c>
      <c r="J24" s="191">
        <v>282</v>
      </c>
      <c r="K24" s="191">
        <v>568</v>
      </c>
      <c r="L24" s="191">
        <v>798</v>
      </c>
    </row>
    <row r="25" spans="7:12" x14ac:dyDescent="0.35">
      <c r="H25" s="191" t="s">
        <v>237</v>
      </c>
      <c r="J25" s="191">
        <v>105</v>
      </c>
      <c r="K25" s="191">
        <v>180</v>
      </c>
      <c r="L25" s="191">
        <v>162</v>
      </c>
    </row>
    <row r="26" spans="7:12" x14ac:dyDescent="0.35">
      <c r="H26" s="191" t="s">
        <v>238</v>
      </c>
      <c r="I26" s="191">
        <v>24</v>
      </c>
      <c r="K26" s="191">
        <v>23</v>
      </c>
      <c r="L26" s="191">
        <v>25</v>
      </c>
    </row>
    <row r="27" spans="7:12" x14ac:dyDescent="0.35">
      <c r="H27" s="191" t="s">
        <v>239</v>
      </c>
      <c r="I27" s="191">
        <v>744</v>
      </c>
      <c r="J27" s="191">
        <v>312</v>
      </c>
      <c r="K27" s="191">
        <v>596</v>
      </c>
      <c r="L27" s="191">
        <v>2734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4</vt:i4>
      </vt:variant>
    </vt:vector>
  </HeadingPairs>
  <TitlesOfParts>
    <vt:vector size="11" baseType="lpstr">
      <vt:lpstr>Intro</vt:lpstr>
      <vt:lpstr>Investeringskalkyl</vt:lpstr>
      <vt:lpstr>Driftkalkyl - Smågrisar</vt:lpstr>
      <vt:lpstr>Noter </vt:lpstr>
      <vt:lpstr>Blad10</vt:lpstr>
      <vt:lpstr>ersättningsnivå</vt:lpstr>
      <vt:lpstr>Blad1</vt:lpstr>
      <vt:lpstr>Djurslag</vt:lpstr>
      <vt:lpstr>'Driftkalkyl - Smågrisar'!Utskriftsområde</vt:lpstr>
      <vt:lpstr>'Noter '!Utskriftsområde</vt:lpstr>
      <vt:lpstr>Välj_djurslag</vt:lpstr>
    </vt:vector>
  </TitlesOfParts>
  <Company>Jordbruksverket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Jonas Fjertorp</dc:creator>
  <cp:lastModifiedBy>Jonas Fjertorp</cp:lastModifiedBy>
  <cp:lastPrinted>2017-02-21T18:01:31Z</cp:lastPrinted>
  <dcterms:created xsi:type="dcterms:W3CDTF">2016-06-01T07:08:09Z</dcterms:created>
  <dcterms:modified xsi:type="dcterms:W3CDTF">2018-01-10T14:57:33Z</dcterms:modified>
</cp:coreProperties>
</file>